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3-2025\"/>
    </mc:Choice>
  </mc:AlternateContent>
  <xr:revisionPtr revIDLastSave="0" documentId="8_{1CF5B02B-5911-43C3-B4BC-8E8EDAC1803D}" xr6:coauthVersionLast="47" xr6:coauthVersionMax="47" xr10:uidLastSave="{00000000-0000-0000-0000-000000000000}"/>
  <bookViews>
    <workbookView xWindow="28680" yWindow="-120" windowWidth="29040" windowHeight="15720" activeTab="1" xr2:uid="{71ECBEB2-2687-4063-A597-2A60A7860EDA}"/>
  </bookViews>
  <sheets>
    <sheet name="summary_03 2025" sheetId="4" r:id="rId1"/>
    <sheet name="szacunek rynku_03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4" i="3" l="1"/>
  <c r="H124" i="3"/>
  <c r="I117" i="3"/>
  <c r="H117" i="3"/>
  <c r="I107" i="3" l="1"/>
  <c r="N107" i="3" s="1"/>
  <c r="H107" i="3"/>
  <c r="I92" i="3"/>
  <c r="H92" i="3"/>
  <c r="I91" i="3"/>
  <c r="H91" i="3"/>
  <c r="I90" i="3"/>
  <c r="H90" i="3"/>
  <c r="M90" i="3" s="1"/>
  <c r="I89" i="3"/>
  <c r="H89" i="3"/>
  <c r="I88" i="3"/>
  <c r="H88" i="3"/>
  <c r="K88" i="3" s="1"/>
  <c r="P88" i="3" s="1"/>
  <c r="I87" i="3"/>
  <c r="N87" i="3" s="1"/>
  <c r="H87" i="3"/>
  <c r="M87" i="3" s="1"/>
  <c r="I86" i="3"/>
  <c r="H86" i="3"/>
  <c r="I85" i="3"/>
  <c r="H85" i="3"/>
  <c r="I84" i="3"/>
  <c r="H84" i="3"/>
  <c r="I83" i="3"/>
  <c r="N83" i="3" s="1"/>
  <c r="H83" i="3"/>
  <c r="M83" i="3" s="1"/>
  <c r="N124" i="3"/>
  <c r="M124" i="3"/>
  <c r="P123" i="3"/>
  <c r="N123" i="3"/>
  <c r="M123" i="3"/>
  <c r="P122" i="3"/>
  <c r="N122" i="3"/>
  <c r="M122" i="3"/>
  <c r="P121" i="3"/>
  <c r="N121" i="3"/>
  <c r="M121" i="3"/>
  <c r="P120" i="3"/>
  <c r="N120" i="3"/>
  <c r="M120" i="3"/>
  <c r="P119" i="3"/>
  <c r="N119" i="3"/>
  <c r="M119" i="3"/>
  <c r="N118" i="3"/>
  <c r="M118" i="3"/>
  <c r="N117" i="3"/>
  <c r="M117" i="3"/>
  <c r="N116" i="3"/>
  <c r="M116" i="3"/>
  <c r="P115" i="3"/>
  <c r="N115" i="3"/>
  <c r="M115" i="3"/>
  <c r="N114" i="3"/>
  <c r="M114" i="3"/>
  <c r="N113" i="3"/>
  <c r="M113" i="3"/>
  <c r="N112" i="3"/>
  <c r="M112" i="3"/>
  <c r="N111" i="3"/>
  <c r="M111" i="3"/>
  <c r="N110" i="3"/>
  <c r="M110" i="3"/>
  <c r="N109" i="3"/>
  <c r="M109" i="3"/>
  <c r="N108" i="3"/>
  <c r="M108" i="3"/>
  <c r="N106" i="3"/>
  <c r="M106" i="3"/>
  <c r="N105" i="3"/>
  <c r="M105" i="3"/>
  <c r="N104" i="3"/>
  <c r="M104" i="3"/>
  <c r="N103" i="3"/>
  <c r="M103" i="3"/>
  <c r="N102" i="3"/>
  <c r="M102" i="3"/>
  <c r="N101" i="3"/>
  <c r="M101" i="3"/>
  <c r="N100" i="3"/>
  <c r="M100" i="3"/>
  <c r="N99" i="3"/>
  <c r="M99" i="3"/>
  <c r="N98" i="3"/>
  <c r="M98" i="3"/>
  <c r="N97" i="3"/>
  <c r="M97" i="3"/>
  <c r="N96" i="3"/>
  <c r="M96" i="3"/>
  <c r="N95" i="3"/>
  <c r="M95" i="3"/>
  <c r="N94" i="3"/>
  <c r="M94" i="3"/>
  <c r="N93" i="3"/>
  <c r="M93" i="3"/>
  <c r="N92" i="3"/>
  <c r="M92" i="3"/>
  <c r="P91" i="3"/>
  <c r="N91" i="3"/>
  <c r="M91" i="3"/>
  <c r="N90" i="3"/>
  <c r="N89" i="3"/>
  <c r="M89" i="3"/>
  <c r="N88" i="3"/>
  <c r="M88" i="3"/>
  <c r="N86" i="3"/>
  <c r="M86" i="3"/>
  <c r="N85" i="3"/>
  <c r="M85" i="3"/>
  <c r="N84" i="3"/>
  <c r="M84" i="3"/>
  <c r="H79" i="3"/>
  <c r="K118" i="3"/>
  <c r="P118" i="3" s="1"/>
  <c r="K116" i="3"/>
  <c r="P116" i="3" s="1"/>
  <c r="K115" i="3"/>
  <c r="K114" i="3"/>
  <c r="P114" i="3" s="1"/>
  <c r="K113" i="3"/>
  <c r="P113" i="3" s="1"/>
  <c r="K112" i="3"/>
  <c r="P112" i="3" s="1"/>
  <c r="K111" i="3"/>
  <c r="P111" i="3" s="1"/>
  <c r="K110" i="3"/>
  <c r="P110" i="3" s="1"/>
  <c r="K109" i="3"/>
  <c r="P109" i="3" s="1"/>
  <c r="K106" i="3"/>
  <c r="P106" i="3" s="1"/>
  <c r="K105" i="3"/>
  <c r="P105" i="3" s="1"/>
  <c r="K104" i="3"/>
  <c r="P104" i="3" s="1"/>
  <c r="K103" i="3"/>
  <c r="P103" i="3" s="1"/>
  <c r="K102" i="3"/>
  <c r="P102" i="3" s="1"/>
  <c r="K101" i="3"/>
  <c r="P101" i="3" s="1"/>
  <c r="K100" i="3"/>
  <c r="P100" i="3" s="1"/>
  <c r="K99" i="3"/>
  <c r="P99" i="3" s="1"/>
  <c r="K98" i="3"/>
  <c r="P98" i="3" s="1"/>
  <c r="K97" i="3"/>
  <c r="P97" i="3" s="1"/>
  <c r="K96" i="3"/>
  <c r="P96" i="3" s="1"/>
  <c r="K95" i="3"/>
  <c r="P95" i="3" s="1"/>
  <c r="K94" i="3"/>
  <c r="P94" i="3" s="1"/>
  <c r="K93" i="3"/>
  <c r="P93" i="3" s="1"/>
  <c r="K91" i="3"/>
  <c r="K90" i="3"/>
  <c r="P90" i="3" s="1"/>
  <c r="K89" i="3"/>
  <c r="P89" i="3" s="1"/>
  <c r="K85" i="3"/>
  <c r="P85" i="3" s="1"/>
  <c r="K84" i="3"/>
  <c r="P84" i="3" s="1"/>
  <c r="K108" i="3" l="1"/>
  <c r="P108" i="3" s="1"/>
  <c r="K107" i="3"/>
  <c r="P107" i="3" s="1"/>
  <c r="M107" i="3"/>
  <c r="K87" i="3"/>
  <c r="K92" i="3"/>
  <c r="P92" i="3" s="1"/>
  <c r="K83" i="3" l="1"/>
  <c r="P83" i="3" s="1"/>
  <c r="P87" i="3"/>
  <c r="K86" i="3"/>
  <c r="P86" i="3" s="1"/>
  <c r="K117" i="3" l="1"/>
  <c r="K124" i="3" s="1"/>
  <c r="P124" i="3" l="1"/>
  <c r="P117" i="3"/>
  <c r="J110" i="4" l="1"/>
  <c r="N114" i="4"/>
  <c r="N113" i="4"/>
  <c r="N112" i="4"/>
  <c r="N111" i="4"/>
  <c r="N110" i="4"/>
  <c r="J77" i="4" l="1"/>
  <c r="N47" i="4"/>
  <c r="N46" i="4"/>
  <c r="N45" i="4"/>
  <c r="N44" i="4"/>
  <c r="J44" i="4"/>
  <c r="J11" i="4"/>
  <c r="D107" i="3" l="1"/>
  <c r="C107" i="3"/>
  <c r="C79" i="3"/>
  <c r="F118" i="3"/>
  <c r="F116" i="3"/>
  <c r="F115" i="3"/>
  <c r="F114" i="3"/>
  <c r="F111" i="3"/>
  <c r="F110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1" i="3"/>
  <c r="F90" i="3"/>
  <c r="F89" i="3"/>
  <c r="F88" i="3"/>
  <c r="F87" i="3"/>
  <c r="F84" i="3"/>
  <c r="N75" i="3"/>
  <c r="M75" i="3"/>
  <c r="N50" i="3"/>
  <c r="M50" i="3"/>
  <c r="I71" i="3"/>
  <c r="H71" i="3"/>
  <c r="K71" i="3" s="1"/>
  <c r="I69" i="3"/>
  <c r="H69" i="3"/>
  <c r="I68" i="3"/>
  <c r="H68" i="3"/>
  <c r="I67" i="3"/>
  <c r="H67" i="3"/>
  <c r="K67" i="3" s="1"/>
  <c r="I66" i="3"/>
  <c r="H66" i="3"/>
  <c r="K66" i="3" s="1"/>
  <c r="I65" i="3"/>
  <c r="H65" i="3"/>
  <c r="I64" i="3"/>
  <c r="H64" i="3"/>
  <c r="K64" i="3" s="1"/>
  <c r="I63" i="3"/>
  <c r="H63" i="3"/>
  <c r="K63" i="3" s="1"/>
  <c r="I62" i="3"/>
  <c r="H62" i="3"/>
  <c r="I61" i="3"/>
  <c r="H61" i="3"/>
  <c r="I60" i="3"/>
  <c r="H60" i="3"/>
  <c r="K60" i="3" s="1"/>
  <c r="I59" i="3"/>
  <c r="H59" i="3"/>
  <c r="K59" i="3" s="1"/>
  <c r="I58" i="3"/>
  <c r="N11" i="4" s="1"/>
  <c r="H58" i="3"/>
  <c r="K58" i="3" s="1"/>
  <c r="I57" i="3"/>
  <c r="H57" i="3"/>
  <c r="K57" i="3" s="1"/>
  <c r="I46" i="3"/>
  <c r="H46" i="3"/>
  <c r="I44" i="3"/>
  <c r="H44" i="3"/>
  <c r="I43" i="3"/>
  <c r="H43" i="3"/>
  <c r="K43" i="3" s="1"/>
  <c r="I42" i="3"/>
  <c r="H42" i="3"/>
  <c r="K42" i="3" s="1"/>
  <c r="I41" i="3"/>
  <c r="H41" i="3"/>
  <c r="K41" i="3" s="1"/>
  <c r="I40" i="3"/>
  <c r="H40" i="3"/>
  <c r="I39" i="3"/>
  <c r="H39" i="3"/>
  <c r="I38" i="3"/>
  <c r="H38" i="3"/>
  <c r="K38" i="3" s="1"/>
  <c r="I37" i="3"/>
  <c r="H37" i="3"/>
  <c r="K37" i="3" s="1"/>
  <c r="I36" i="3"/>
  <c r="H36" i="3"/>
  <c r="K36" i="3" s="1"/>
  <c r="I35" i="3"/>
  <c r="H35" i="3"/>
  <c r="K35" i="3" s="1"/>
  <c r="I34" i="3"/>
  <c r="H34" i="3"/>
  <c r="K34" i="3" s="1"/>
  <c r="I33" i="3"/>
  <c r="H33" i="3"/>
  <c r="I32" i="3"/>
  <c r="H32" i="3"/>
  <c r="I22" i="3"/>
  <c r="H22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P75" i="3"/>
  <c r="P73" i="3"/>
  <c r="P71" i="3"/>
  <c r="P48" i="3"/>
  <c r="P46" i="3"/>
  <c r="P26" i="3"/>
  <c r="P24" i="3"/>
  <c r="K65" i="3" l="1"/>
  <c r="P50" i="3"/>
  <c r="K33" i="3"/>
  <c r="K39" i="3"/>
  <c r="K46" i="3"/>
  <c r="K62" i="3"/>
  <c r="K68" i="3"/>
  <c r="J16" i="4"/>
  <c r="K32" i="3"/>
  <c r="J14" i="4"/>
  <c r="J15" i="4"/>
  <c r="K69" i="3"/>
  <c r="F86" i="3"/>
  <c r="F85" i="3"/>
  <c r="F83" i="3" s="1"/>
  <c r="F93" i="3"/>
  <c r="F109" i="3"/>
  <c r="F108" i="3" s="1"/>
  <c r="F113" i="3"/>
  <c r="F112" i="3" s="1"/>
  <c r="K61" i="3"/>
  <c r="K40" i="3"/>
  <c r="K44" i="3"/>
  <c r="M55" i="3"/>
  <c r="M30" i="3"/>
  <c r="K16" i="4" l="1"/>
  <c r="K15" i="4"/>
  <c r="K14" i="4"/>
  <c r="N56" i="3"/>
  <c r="M56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31" i="3"/>
  <c r="N31" i="3"/>
  <c r="M31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22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C55" i="3" l="1"/>
  <c r="C30" i="3"/>
  <c r="F71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D56" i="3"/>
  <c r="C56" i="3"/>
  <c r="F46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D31" i="3"/>
  <c r="C31" i="3"/>
  <c r="F22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J45" i="4" l="1"/>
  <c r="N12" i="4"/>
  <c r="J111" i="4" l="1"/>
  <c r="J78" i="4"/>
  <c r="J12" i="4"/>
  <c r="K56" i="3" l="1"/>
  <c r="I56" i="3"/>
  <c r="H56" i="3"/>
  <c r="H55" i="3"/>
  <c r="K31" i="3"/>
  <c r="I31" i="3"/>
  <c r="H31" i="3"/>
  <c r="H30" i="3"/>
  <c r="K20" i="3"/>
  <c r="K19" i="3"/>
  <c r="K18" i="3"/>
  <c r="K17" i="3"/>
  <c r="K16" i="3"/>
  <c r="K15" i="3"/>
  <c r="K14" i="3"/>
  <c r="K13" i="3"/>
  <c r="K12" i="3"/>
  <c r="K10" i="3"/>
  <c r="K9" i="3"/>
  <c r="K11" i="3" l="1"/>
  <c r="K22" i="3"/>
  <c r="K8" i="3"/>
  <c r="F107" i="3" l="1"/>
  <c r="F92" i="3"/>
  <c r="F117" i="3" l="1"/>
  <c r="F124" i="3" s="1"/>
  <c r="N78" i="4"/>
  <c r="N77" i="4"/>
  <c r="N79" i="4" l="1"/>
</calcChain>
</file>

<file path=xl/sharedStrings.xml><?xml version="1.0" encoding="utf-8"?>
<sst xmlns="http://schemas.openxmlformats.org/spreadsheetml/2006/main" count="157" uniqueCount="93">
  <si>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</si>
  <si>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</si>
  <si>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</si>
  <si>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</si>
  <si>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</si>
  <si>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</si>
  <si>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</si>
  <si>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</si>
  <si>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</si>
  <si>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</si>
  <si>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</si>
  <si>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</si>
  <si>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</si>
  <si>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</si>
  <si>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</si>
  <si>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</si>
  <si>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</si>
  <si>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</si>
  <si>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</si>
  <si>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</si>
  <si>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</si>
  <si>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</si>
  <si>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</si>
  <si>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</si>
  <si>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</si>
  <si>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</si>
  <si>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</si>
  <si>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</si>
  <si>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</si>
  <si>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</si>
  <si>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</si>
  <si>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</si>
  <si>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</si>
  <si>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</si>
  <si>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</si>
  <si>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I-II 2024</t>
  </si>
  <si>
    <t>I-II 2025</t>
  </si>
  <si>
    <t>I-II 25 /
I-II 24</t>
  </si>
  <si>
    <t>02/2025</t>
  </si>
  <si>
    <t>I-II 2025 vs I-II 2024</t>
  </si>
  <si>
    <t>I-III 2025 vs I-III 2024</t>
  </si>
  <si>
    <t>III 2025 vs III 2024</t>
  </si>
  <si>
    <t>III 2024</t>
  </si>
  <si>
    <t>III 2025</t>
  </si>
  <si>
    <t>III 25 /
III 24</t>
  </si>
  <si>
    <t>nieruchomości</t>
  </si>
  <si>
    <t>łączne finansowanie - leasing</t>
  </si>
  <si>
    <t>łączne finansowanie - pożyczka</t>
  </si>
  <si>
    <t>łączne finansowanie - leasing + pożyczka</t>
  </si>
  <si>
    <t>I-III 2024</t>
  </si>
  <si>
    <t>I-III 2025</t>
  </si>
  <si>
    <t>I-III 25 /
I-III 24</t>
  </si>
  <si>
    <t>Leasing</t>
  </si>
  <si>
    <t>Pożyczka</t>
  </si>
  <si>
    <t>Leasing + Pożyczka</t>
  </si>
  <si>
    <t>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</si>
  <si>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</si>
  <si>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</si>
  <si>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</si>
  <si>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</si>
  <si>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</si>
  <si>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</si>
  <si>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</si>
  <si>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</si>
  <si>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</si>
  <si>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</si>
  <si>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</si>
  <si>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</si>
  <si>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</si>
  <si>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</si>
  <si>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</si>
  <si>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</si>
  <si>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</si>
  <si>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</si>
  <si>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</si>
  <si>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</si>
  <si>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</si>
  <si>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</si>
  <si>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</si>
  <si>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</si>
  <si>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 xml:space="preserve">NIERUCHOMOŚCI </t>
  </si>
  <si>
    <t>budynki przemysłowe</t>
  </si>
  <si>
    <t>obiekty handlowe i usługowe</t>
  </si>
  <si>
    <t>obiekty biurowe</t>
  </si>
  <si>
    <t>hotele i obiekty rekreacyjne</t>
  </si>
  <si>
    <t>OGÓŁEM RUCHOMOŚCI I NIERUCHOMOŚCI</t>
  </si>
  <si>
    <t>01-03 2025</t>
  </si>
  <si>
    <t>FINANSOWANIE POJAZDÓW LEKKICH - I kw. 2025r. 
Łączne finansowanie leasingiem i pożyczką</t>
  </si>
  <si>
    <t>I kw. 2025</t>
  </si>
  <si>
    <t>FINANSOWANIE POJAZDÓW CIĘŻKICH - I kw. 2025r. 
Łączne finansowanie leasingiem i pożyczką</t>
  </si>
  <si>
    <t>FINANSOWANIE MASZYN - I kw. 2025r. 
Łączne finansowanie leasingiem i pożyczką</t>
  </si>
  <si>
    <t>zmiana r/r</t>
  </si>
  <si>
    <t>Związek Polskiego Leasingu, Warszawa, dnia 25-04-2025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</si>
</sst>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7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E93A5"/>
        <bgColor indexed="64"/>
      </patternFill>
    </fill>
    <fill>
      <patternFill patternType="solid">
        <fgColor rgb="FFA7CFEA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 applyBorder="0"/>
  </cellStyleXfs>
  <cellXfs count="16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8" fillId="0" borderId="0" xfId="3"/>
    <xf numFmtId="0" fontId="8" fillId="0" borderId="18" xfId="3" applyBorder="1"/>
    <xf numFmtId="0" fontId="24" fillId="0" borderId="15" xfId="3" applyFont="1" applyBorder="1" applyAlignment="1">
      <alignment horizontal="left"/>
    </xf>
    <xf numFmtId="165" fontId="23" fillId="0" borderId="16" xfId="6" applyNumberFormat="1" applyFont="1" applyBorder="1" applyAlignment="1">
      <alignment vertical="center"/>
    </xf>
    <xf numFmtId="165" fontId="23" fillId="0" borderId="17" xfId="6" applyNumberFormat="1" applyFont="1" applyBorder="1" applyAlignment="1">
      <alignment vertical="center"/>
    </xf>
    <xf numFmtId="165" fontId="23" fillId="0" borderId="18" xfId="6" applyNumberFormat="1" applyFont="1" applyBorder="1" applyAlignment="1">
      <alignment vertical="center"/>
    </xf>
    <xf numFmtId="165" fontId="23" fillId="0" borderId="19" xfId="6" applyNumberFormat="1" applyFont="1" applyBorder="1" applyAlignment="1">
      <alignment vertical="center"/>
    </xf>
    <xf numFmtId="0" fontId="25" fillId="3" borderId="20" xfId="6" applyFont="1" applyFill="1" applyBorder="1" applyAlignment="1">
      <alignment horizontal="left" vertical="center" indent="1"/>
    </xf>
    <xf numFmtId="165" fontId="25" fillId="0" borderId="20" xfId="6" applyNumberFormat="1" applyFont="1" applyBorder="1" applyAlignment="1">
      <alignment vertical="center"/>
    </xf>
    <xf numFmtId="165" fontId="25" fillId="0" borderId="21" xfId="6" applyNumberFormat="1" applyFont="1" applyBorder="1" applyAlignment="1">
      <alignment vertical="center"/>
    </xf>
    <xf numFmtId="165" fontId="25" fillId="0" borderId="18" xfId="6" applyNumberFormat="1" applyFont="1" applyBorder="1" applyAlignment="1">
      <alignment vertical="center"/>
    </xf>
    <xf numFmtId="165" fontId="25" fillId="0" borderId="22" xfId="6" applyNumberFormat="1" applyFont="1" applyBorder="1" applyAlignment="1">
      <alignment vertical="center"/>
    </xf>
    <xf numFmtId="0" fontId="25" fillId="3" borderId="23" xfId="6" applyFont="1" applyFill="1" applyBorder="1" applyAlignment="1">
      <alignment horizontal="left" vertical="center" indent="1"/>
    </xf>
    <xf numFmtId="165" fontId="25" fillId="3" borderId="23" xfId="6" applyNumberFormat="1" applyFont="1" applyFill="1" applyBorder="1" applyAlignment="1">
      <alignment vertical="center"/>
    </xf>
    <xf numFmtId="165" fontId="25" fillId="3" borderId="24" xfId="6" applyNumberFormat="1" applyFont="1" applyFill="1" applyBorder="1" applyAlignment="1">
      <alignment vertical="center"/>
    </xf>
    <xf numFmtId="165" fontId="25" fillId="3" borderId="25" xfId="6" applyNumberFormat="1" applyFont="1" applyFill="1" applyBorder="1" applyAlignment="1">
      <alignment vertical="center"/>
    </xf>
    <xf numFmtId="0" fontId="25" fillId="3" borderId="23" xfId="6" applyFont="1" applyFill="1" applyBorder="1" applyAlignment="1">
      <alignment horizontal="left" vertical="center" indent="2"/>
    </xf>
    <xf numFmtId="165" fontId="25" fillId="0" borderId="23" xfId="6" applyNumberFormat="1" applyFont="1" applyBorder="1" applyAlignment="1">
      <alignment vertical="center"/>
    </xf>
    <xf numFmtId="165" fontId="25" fillId="0" borderId="24" xfId="6" applyNumberFormat="1" applyFont="1" applyBorder="1" applyAlignment="1">
      <alignment vertical="center"/>
    </xf>
    <xf numFmtId="165" fontId="25" fillId="0" borderId="25" xfId="6" applyNumberFormat="1" applyFont="1" applyBorder="1" applyAlignment="1">
      <alignment vertical="center"/>
    </xf>
    <xf numFmtId="0" fontId="25" fillId="3" borderId="26" xfId="6" applyFont="1" applyFill="1" applyBorder="1" applyAlignment="1">
      <alignment horizontal="left" vertical="center" indent="1"/>
    </xf>
    <xf numFmtId="165" fontId="25" fillId="0" borderId="26" xfId="6" applyNumberFormat="1" applyFont="1" applyBorder="1" applyAlignment="1">
      <alignment vertical="center"/>
    </xf>
    <xf numFmtId="165" fontId="25" fillId="0" borderId="27" xfId="6" applyNumberFormat="1" applyFont="1" applyBorder="1" applyAlignment="1">
      <alignment vertical="center"/>
    </xf>
    <xf numFmtId="165" fontId="25" fillId="0" borderId="28" xfId="6" applyNumberFormat="1" applyFont="1" applyBorder="1" applyAlignment="1">
      <alignment vertical="center"/>
    </xf>
    <xf numFmtId="0" fontId="23" fillId="3" borderId="15" xfId="6" applyFont="1" applyFill="1" applyBorder="1" applyAlignment="1">
      <alignment vertical="center"/>
    </xf>
    <xf numFmtId="165" fontId="23" fillId="0" borderId="29" xfId="6" applyNumberFormat="1" applyFont="1" applyBorder="1" applyAlignment="1">
      <alignment vertical="center"/>
    </xf>
    <xf numFmtId="165" fontId="23" fillId="0" borderId="30" xfId="6" applyNumberFormat="1" applyFont="1" applyBorder="1" applyAlignment="1">
      <alignment vertical="center"/>
    </xf>
    <xf numFmtId="0" fontId="21" fillId="0" borderId="20" xfId="3" applyFont="1" applyBorder="1" applyAlignment="1">
      <alignment horizontal="left" indent="1"/>
    </xf>
    <xf numFmtId="165" fontId="21" fillId="0" borderId="20" xfId="3" applyNumberFormat="1" applyFont="1" applyBorder="1" applyAlignment="1">
      <alignment horizontal="right"/>
    </xf>
    <xf numFmtId="165" fontId="21" fillId="0" borderId="21" xfId="3" applyNumberFormat="1" applyFont="1" applyBorder="1"/>
    <xf numFmtId="165" fontId="21" fillId="0" borderId="18" xfId="3" applyNumberFormat="1" applyFont="1" applyBorder="1"/>
    <xf numFmtId="165" fontId="21" fillId="0" borderId="22" xfId="3" applyNumberFormat="1" applyFont="1" applyBorder="1"/>
    <xf numFmtId="0" fontId="21" fillId="0" borderId="23" xfId="3" applyFont="1" applyBorder="1" applyAlignment="1">
      <alignment horizontal="left" indent="1"/>
    </xf>
    <xf numFmtId="165" fontId="21" fillId="0" borderId="25" xfId="3" applyNumberFormat="1" applyFont="1" applyBorder="1"/>
    <xf numFmtId="0" fontId="21" fillId="0" borderId="26" xfId="3" applyFont="1" applyBorder="1" applyAlignment="1">
      <alignment horizontal="left" indent="1"/>
    </xf>
    <xf numFmtId="165" fontId="24" fillId="0" borderId="29" xfId="3" applyNumberFormat="1" applyFont="1" applyBorder="1" applyAlignment="1">
      <alignment horizontal="right"/>
    </xf>
    <xf numFmtId="165" fontId="21" fillId="0" borderId="23" xfId="3" applyNumberFormat="1" applyFont="1" applyBorder="1" applyAlignment="1">
      <alignment horizontal="right"/>
    </xf>
    <xf numFmtId="165" fontId="21" fillId="0" borderId="24" xfId="3" applyNumberFormat="1" applyFont="1" applyBorder="1"/>
    <xf numFmtId="165" fontId="24" fillId="0" borderId="30" xfId="3" applyNumberFormat="1" applyFont="1" applyBorder="1"/>
    <xf numFmtId="165" fontId="24" fillId="0" borderId="18" xfId="3" applyNumberFormat="1" applyFont="1" applyBorder="1"/>
    <xf numFmtId="165" fontId="24" fillId="0" borderId="19" xfId="3" applyNumberFormat="1" applyFont="1" applyBorder="1"/>
    <xf numFmtId="165" fontId="21" fillId="5" borderId="20" xfId="3" applyNumberFormat="1" applyFont="1" applyFill="1" applyBorder="1"/>
    <xf numFmtId="165" fontId="21" fillId="5" borderId="21" xfId="3" applyNumberFormat="1" applyFont="1" applyFill="1" applyBorder="1"/>
    <xf numFmtId="165" fontId="21" fillId="5" borderId="23" xfId="3" applyNumberFormat="1" applyFont="1" applyFill="1" applyBorder="1" applyAlignment="1">
      <alignment horizontal="right"/>
    </xf>
    <xf numFmtId="165" fontId="21" fillId="5" borderId="24" xfId="3" applyNumberFormat="1" applyFont="1" applyFill="1" applyBorder="1" applyAlignment="1">
      <alignment horizontal="right"/>
    </xf>
    <xf numFmtId="165" fontId="21" fillId="0" borderId="18" xfId="3" applyNumberFormat="1" applyFont="1" applyBorder="1" applyAlignment="1">
      <alignment horizontal="right"/>
    </xf>
    <xf numFmtId="165" fontId="21" fillId="5" borderId="26" xfId="3" applyNumberFormat="1" applyFont="1" applyFill="1" applyBorder="1" applyAlignment="1">
      <alignment horizontal="right"/>
    </xf>
    <xf numFmtId="165" fontId="21" fillId="5" borderId="27" xfId="3" applyNumberFormat="1" applyFont="1" applyFill="1" applyBorder="1" applyAlignment="1">
      <alignment horizontal="right"/>
    </xf>
    <xf numFmtId="165" fontId="23" fillId="0" borderId="0" xfId="6" applyNumberFormat="1" applyFont="1" applyBorder="1" applyAlignment="1">
      <alignment horizontal="center" vertical="center" wrapText="1"/>
    </xf>
    <xf numFmtId="165" fontId="22" fillId="4" borderId="10" xfId="6" applyNumberFormat="1" applyFont="1" applyFill="1" applyBorder="1" applyAlignment="1">
      <alignment horizontal="center" vertical="center" wrapText="1"/>
    </xf>
    <xf numFmtId="165" fontId="22" fillId="7" borderId="31" xfId="6" applyNumberFormat="1" applyFont="1" applyFill="1" applyBorder="1" applyAlignment="1">
      <alignment horizontal="center" vertical="center" wrapText="1"/>
    </xf>
    <xf numFmtId="165" fontId="22" fillId="6" borderId="31" xfId="6" applyNumberFormat="1" applyFont="1" applyFill="1" applyBorder="1" applyAlignment="1">
      <alignment horizontal="center" vertical="center" wrapText="1"/>
    </xf>
    <xf numFmtId="164" fontId="23" fillId="0" borderId="16" xfId="5" applyNumberFormat="1" applyFont="1" applyBorder="1" applyAlignment="1">
      <alignment vertical="center"/>
    </xf>
    <xf numFmtId="164" fontId="23" fillId="0" borderId="17" xfId="5" applyNumberFormat="1" applyFont="1" applyBorder="1" applyAlignment="1">
      <alignment vertical="center"/>
    </xf>
    <xf numFmtId="164" fontId="23" fillId="0" borderId="18" xfId="5" applyNumberFormat="1" applyFont="1" applyFill="1" applyBorder="1" applyAlignment="1">
      <alignment vertical="center"/>
    </xf>
    <xf numFmtId="164" fontId="23" fillId="0" borderId="19" xfId="5" applyNumberFormat="1" applyFont="1" applyBorder="1" applyAlignment="1">
      <alignment vertical="center"/>
    </xf>
    <xf numFmtId="164" fontId="25" fillId="0" borderId="20" xfId="5" applyNumberFormat="1" applyFont="1" applyBorder="1" applyAlignment="1">
      <alignment vertical="center"/>
    </xf>
    <xf numFmtId="164" fontId="25" fillId="0" borderId="21" xfId="5" applyNumberFormat="1" applyFont="1" applyBorder="1" applyAlignment="1">
      <alignment vertical="center"/>
    </xf>
    <xf numFmtId="164" fontId="25" fillId="0" borderId="18" xfId="5" applyNumberFormat="1" applyFont="1" applyFill="1" applyBorder="1" applyAlignment="1">
      <alignment vertical="center"/>
    </xf>
    <xf numFmtId="164" fontId="25" fillId="0" borderId="22" xfId="5" applyNumberFormat="1" applyFont="1" applyBorder="1" applyAlignment="1">
      <alignment vertical="center"/>
    </xf>
    <xf numFmtId="164" fontId="25" fillId="3" borderId="23" xfId="5" applyNumberFormat="1" applyFont="1" applyFill="1" applyBorder="1" applyAlignment="1">
      <alignment vertical="center"/>
    </xf>
    <xf numFmtId="164" fontId="25" fillId="3" borderId="24" xfId="5" applyNumberFormat="1" applyFont="1" applyFill="1" applyBorder="1" applyAlignment="1">
      <alignment vertical="center"/>
    </xf>
    <xf numFmtId="164" fontId="25" fillId="3" borderId="25" xfId="5" applyNumberFormat="1" applyFont="1" applyFill="1" applyBorder="1" applyAlignment="1">
      <alignment vertical="center"/>
    </xf>
    <xf numFmtId="164" fontId="25" fillId="0" borderId="23" xfId="5" applyNumberFormat="1" applyFont="1" applyBorder="1" applyAlignment="1">
      <alignment vertical="center"/>
    </xf>
    <xf numFmtId="164" fontId="25" fillId="0" borderId="24" xfId="5" applyNumberFormat="1" applyFont="1" applyBorder="1" applyAlignment="1">
      <alignment vertical="center"/>
    </xf>
    <xf numFmtId="164" fontId="25" fillId="0" borderId="25" xfId="5" applyNumberFormat="1" applyFont="1" applyBorder="1" applyAlignment="1">
      <alignment vertical="center"/>
    </xf>
    <xf numFmtId="164" fontId="25" fillId="0" borderId="26" xfId="5" applyNumberFormat="1" applyFont="1" applyBorder="1" applyAlignment="1">
      <alignment vertical="center"/>
    </xf>
    <xf numFmtId="164" fontId="25" fillId="0" borderId="27" xfId="5" applyNumberFormat="1" applyFont="1" applyBorder="1" applyAlignment="1">
      <alignment vertical="center"/>
    </xf>
    <xf numFmtId="164" fontId="25" fillId="0" borderId="28" xfId="5" applyNumberFormat="1" applyFont="1" applyBorder="1" applyAlignment="1">
      <alignment vertical="center"/>
    </xf>
    <xf numFmtId="164" fontId="23" fillId="0" borderId="29" xfId="5" applyNumberFormat="1" applyFont="1" applyBorder="1" applyAlignment="1">
      <alignment vertical="center"/>
    </xf>
    <xf numFmtId="164" fontId="23" fillId="0" borderId="30" xfId="5" applyNumberFormat="1" applyFont="1" applyBorder="1" applyAlignment="1">
      <alignment vertical="center"/>
    </xf>
    <xf numFmtId="164" fontId="21" fillId="0" borderId="20" xfId="5" applyNumberFormat="1" applyFont="1" applyBorder="1" applyAlignment="1">
      <alignment horizontal="right"/>
    </xf>
    <xf numFmtId="164" fontId="21" fillId="0" borderId="21" xfId="5" applyNumberFormat="1" applyFont="1" applyBorder="1"/>
    <xf numFmtId="164" fontId="21" fillId="0" borderId="18" xfId="5" applyNumberFormat="1" applyFont="1" applyFill="1" applyBorder="1"/>
    <xf numFmtId="164" fontId="21" fillId="0" borderId="22" xfId="5" applyNumberFormat="1" applyFont="1" applyBorder="1"/>
    <xf numFmtId="164" fontId="21" fillId="0" borderId="25" xfId="5" applyNumberFormat="1" applyFont="1" applyBorder="1"/>
    <xf numFmtId="164" fontId="21" fillId="0" borderId="20" xfId="5" applyNumberFormat="1" applyFont="1" applyFill="1" applyBorder="1" applyAlignment="1">
      <alignment horizontal="right"/>
    </xf>
    <xf numFmtId="164" fontId="21" fillId="0" borderId="21" xfId="5" applyNumberFormat="1" applyFont="1" applyFill="1" applyBorder="1"/>
    <xf numFmtId="164" fontId="21" fillId="0" borderId="25" xfId="5" applyNumberFormat="1" applyFont="1" applyFill="1" applyBorder="1"/>
    <xf numFmtId="164" fontId="24" fillId="0" borderId="29" xfId="5" applyNumberFormat="1" applyFont="1" applyBorder="1" applyAlignment="1">
      <alignment horizontal="right"/>
    </xf>
    <xf numFmtId="164" fontId="21" fillId="0" borderId="23" xfId="5" applyNumberFormat="1" applyFont="1" applyBorder="1" applyAlignment="1">
      <alignment horizontal="right"/>
    </xf>
    <xf numFmtId="164" fontId="21" fillId="0" borderId="24" xfId="5" applyNumberFormat="1" applyFont="1" applyBorder="1"/>
    <xf numFmtId="164" fontId="24" fillId="0" borderId="30" xfId="5" applyNumberFormat="1" applyFont="1" applyBorder="1"/>
    <xf numFmtId="164" fontId="24" fillId="0" borderId="18" xfId="5" applyNumberFormat="1" applyFont="1" applyFill="1" applyBorder="1"/>
    <xf numFmtId="164" fontId="24" fillId="0" borderId="19" xfId="5" applyNumberFormat="1" applyFont="1" applyBorder="1"/>
    <xf numFmtId="164" fontId="21" fillId="5" borderId="20" xfId="5" applyNumberFormat="1" applyFont="1" applyFill="1" applyBorder="1"/>
    <xf numFmtId="164" fontId="21" fillId="5" borderId="21" xfId="5" applyNumberFormat="1" applyFont="1" applyFill="1" applyBorder="1"/>
    <xf numFmtId="164" fontId="21" fillId="5" borderId="23" xfId="5" applyNumberFormat="1" applyFont="1" applyFill="1" applyBorder="1" applyAlignment="1">
      <alignment horizontal="right"/>
    </xf>
    <xf numFmtId="164" fontId="21" fillId="5" borderId="24" xfId="5" applyNumberFormat="1" applyFont="1" applyFill="1" applyBorder="1" applyAlignment="1">
      <alignment horizontal="right"/>
    </xf>
    <xf numFmtId="164" fontId="21" fillId="0" borderId="18" xfId="5" applyNumberFormat="1" applyFont="1" applyFill="1" applyBorder="1" applyAlignment="1">
      <alignment horizontal="right"/>
    </xf>
    <xf numFmtId="164" fontId="21" fillId="5" borderId="26" xfId="5" applyNumberFormat="1" applyFont="1" applyFill="1" applyBorder="1" applyAlignment="1">
      <alignment horizontal="right"/>
    </xf>
    <xf numFmtId="164" fontId="21" fillId="5" borderId="27" xfId="5" applyNumberFormat="1" applyFont="1" applyFill="1" applyBorder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0" fontId="22" fillId="4" borderId="10" xfId="3" applyFont="1" applyFill="1" applyBorder="1" applyAlignment="1">
      <alignment horizontal="center" vertical="center" wrapText="1"/>
    </xf>
    <xf numFmtId="0" fontId="22" fillId="7" borderId="31" xfId="3" applyFont="1" applyFill="1" applyBorder="1" applyAlignment="1">
      <alignment horizontal="center" vertical="center" wrapText="1"/>
    </xf>
    <xf numFmtId="0" fontId="22" fillId="6" borderId="31" xfId="3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6" fillId="0" borderId="0" xfId="1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846834A-9A80-4B26-9C4B-849B518453E3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7E93A5"/>
      <color rgb="FFA7CFEA"/>
      <color rgb="FF0C35E2"/>
      <color rgb="FFF73711"/>
      <color rgb="FF5B9BD6"/>
      <color rgb="FFBE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I kw. 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2025'!$I$11:$I$12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'summary_03 2025'!$J$11:$J$12</c:f>
              <c:numCache>
                <c:formatCode>0.0%</c:formatCode>
                <c:ptCount val="2"/>
                <c:pt idx="0">
                  <c:v>0.94507298400984707</c:v>
                </c:pt>
                <c:pt idx="1">
                  <c:v>5.4927015990152928E-2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 kw.2025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2025'!$M$11:$M$12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'summary_03 2025'!$N$11:$N$12</c:f>
              <c:numCache>
                <c:formatCode>0.0%</c:formatCode>
                <c:ptCount val="2"/>
                <c:pt idx="0">
                  <c:v>0.37237061187357984</c:v>
                </c:pt>
                <c:pt idx="1">
                  <c:v>0.62762938812642011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2025'!$I$44:$I$45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'summary_03 2025'!$J$44:$J$45</c:f>
              <c:numCache>
                <c:formatCode>0.0%</c:formatCode>
                <c:ptCount val="2"/>
                <c:pt idx="0">
                  <c:v>0.9069183613130879</c:v>
                </c:pt>
                <c:pt idx="1">
                  <c:v>9.3081638686912105E-2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285296785549088"/>
          <c:y val="2.1613835784488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3.1431842226298037E-2"/>
                  <c:y val="-0.1298630908398902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86261863668"/>
                      <c:h val="0.161563557772325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2025'!$M$44:$M$47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'summary_03 2025'!$N$44:$N$47</c:f>
              <c:numCache>
                <c:formatCode>0.0%</c:formatCode>
                <c:ptCount val="4"/>
                <c:pt idx="0">
                  <c:v>0.22281298651634412</c:v>
                </c:pt>
                <c:pt idx="1">
                  <c:v>0.452235803430176</c:v>
                </c:pt>
                <c:pt idx="2">
                  <c:v>0.22431032650901861</c:v>
                </c:pt>
                <c:pt idx="3">
                  <c:v>0.10064088354446121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2025'!$I$77:$I$78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'summary_03 2025'!$J$77:$J$78</c:f>
              <c:numCache>
                <c:formatCode>0%</c:formatCode>
                <c:ptCount val="2"/>
                <c:pt idx="0">
                  <c:v>0.62314309379793098</c:v>
                </c:pt>
                <c:pt idx="1">
                  <c:v>0.37685690620206902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2025'!$M$77:$M$80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'summary_03 2025'!$N$77:$N$80</c:f>
              <c:numCache>
                <c:formatCode>0%</c:formatCode>
                <c:ptCount val="4"/>
                <c:pt idx="0">
                  <c:v>0.19042457838286081</c:v>
                </c:pt>
                <c:pt idx="1">
                  <c:v>0.2872786275156029</c:v>
                </c:pt>
                <c:pt idx="2">
                  <c:v>0.52229679410153618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2025'!$I$110:$I$111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'summary_03 2025'!$J$110:$J$111</c:f>
              <c:numCache>
                <c:formatCode>0.0%</c:formatCode>
                <c:ptCount val="2"/>
                <c:pt idx="0">
                  <c:v>0.86543780372609025</c:v>
                </c:pt>
                <c:pt idx="1">
                  <c:v>0.13456219627390975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2025'!$M$110:$M$114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'summary_03 2025'!$N$110:$N$114</c:f>
              <c:numCache>
                <c:formatCode>0.0%</c:formatCode>
                <c:ptCount val="5"/>
                <c:pt idx="0">
                  <c:v>0.57265168023704749</c:v>
                </c:pt>
                <c:pt idx="1">
                  <c:v>0.17171218926473136</c:v>
                </c:pt>
                <c:pt idx="2">
                  <c:v>0.22275131737048176</c:v>
                </c:pt>
                <c:pt idx="3">
                  <c:v>1.0121032730240172E-2</c:v>
                </c:pt>
                <c:pt idx="4">
                  <c:v>2.2763780397498899E-2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B803-4EE1-9060-47C6023BDB1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803-4EE1-9060-47C6023BDB1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B803-4EE1-9060-47C6023BDB14}"/>
              </c:ext>
            </c:extLst>
          </c:dPt>
          <c:dLbls>
            <c:dLbl>
              <c:idx val="0"/>
              <c:layout>
                <c:manualLayout>
                  <c:x val="0.17746226042919805"/>
                  <c:y val="4.68928704067525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2271816182497692"/>
                  <c:y val="-7.07219485845865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1649764161666496"/>
                  <c:y val="-9.822492858970352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803-4EE1-9060-47C6023BDB14}"/>
                </c:ext>
              </c:extLst>
            </c:dLbl>
            <c:dLbl>
              <c:idx val="3"/>
              <c:layout>
                <c:manualLayout>
                  <c:x val="9.6990388246220513E-2"/>
                  <c:y val="-0.2158821290470870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7399295610334"/>
                      <c:h val="0.1289553936185695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B803-4EE1-9060-47C6023BDB14}"/>
                </c:ext>
              </c:extLst>
            </c:dLbl>
            <c:dLbl>
              <c:idx val="4"/>
              <c:layout>
                <c:manualLayout>
                  <c:x val="0.29703074864311724"/>
                  <c:y val="-5.526097082395758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803-4EE1-9060-47C6023BDB1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rynku_03 2025'!$B$8,'szacunek rynku_03 2025'!$B$17:$B$20)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rynku_03 2025'!$M$8,'szacunek rynku_03 2025'!$M$17:$M$20)</c:f>
              <c:numCache>
                <c:formatCode>#,##0</c:formatCode>
                <c:ptCount val="5"/>
                <c:pt idx="0">
                  <c:v>18285.760237191669</c:v>
                </c:pt>
                <c:pt idx="1">
                  <c:v>4081.0139294559481</c:v>
                </c:pt>
                <c:pt idx="2">
                  <c:v>173.45318043394064</c:v>
                </c:pt>
                <c:pt idx="3">
                  <c:v>283.53174390919253</c:v>
                </c:pt>
                <c:pt idx="4">
                  <c:v>111.12099391783011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7242-4DAE-A4B7-82C85438BADB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242-4DAE-A4B7-82C85438BAD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7242-4DAE-A4B7-82C85438BADB}"/>
              </c:ext>
            </c:extLst>
          </c:dPt>
          <c:dLbls>
            <c:dLbl>
              <c:idx val="0"/>
              <c:layout>
                <c:manualLayout>
                  <c:x val="0.18159454176463227"/>
                  <c:y val="-5.476208369420457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445020367641206"/>
                  <c:y val="4.30273514740178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148577352352881"/>
                  <c:y val="-7.04083933211201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7242-4DAE-A4B7-82C85438BADB}"/>
                </c:ext>
              </c:extLst>
            </c:dLbl>
            <c:dLbl>
              <c:idx val="3"/>
              <c:layout>
                <c:manualLayout>
                  <c:x val="-4.2782608130486678E-4"/>
                  <c:y val="-0.2073136025566316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9349502873567883"/>
                      <c:h val="0.121258899608595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7242-4DAE-A4B7-82C85438BADB}"/>
                </c:ext>
              </c:extLst>
            </c:dLbl>
            <c:dLbl>
              <c:idx val="4"/>
              <c:layout>
                <c:manualLayout>
                  <c:x val="0.14857735235288089"/>
                  <c:y val="-9.77894351682224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7242-4DAE-A4B7-82C85438BAD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rynku_03 2025'!$B$32,'szacunek rynku_03 2025'!$B$41:$B$44)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rynku_03 2025'!$M$32,'szacunek rynku_03 2025'!$M$41:$M$44)</c:f>
              <c:numCache>
                <c:formatCode>#,##0</c:formatCode>
                <c:ptCount val="5"/>
                <c:pt idx="0">
                  <c:v>953.63250161526389</c:v>
                </c:pt>
                <c:pt idx="1">
                  <c:v>1809.5680272841578</c:v>
                </c:pt>
                <c:pt idx="2">
                  <c:v>35.03856808768365</c:v>
                </c:pt>
                <c:pt idx="3">
                  <c:v>26.733766752841248</c:v>
                </c:pt>
                <c:pt idx="4">
                  <c:v>12.944710149614719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B851-4632-95CF-AA3C72487DDC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851-4632-95CF-AA3C72487DD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B851-4632-95CF-AA3C72487DDC}"/>
              </c:ext>
            </c:extLst>
          </c:dPt>
          <c:dLbls>
            <c:dLbl>
              <c:idx val="0"/>
              <c:layout>
                <c:manualLayout>
                  <c:x val="0.16098438064729176"/>
                  <c:y val="3.12621733241351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1051803623107385"/>
                  <c:y val="7.8155433310338352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5685657601530997"/>
                  <c:y val="-6.6432118313787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851-4632-95CF-AA3C72487DDC}"/>
                </c:ext>
              </c:extLst>
            </c:dLbl>
            <c:dLbl>
              <c:idx val="3"/>
              <c:layout>
                <c:manualLayout>
                  <c:x val="-1.8575120843918245E-2"/>
                  <c:y val="-0.2071118982723956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7380612189179558"/>
                      <c:h val="0.12114092163102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B851-4632-95CF-AA3C72487DDC}"/>
                </c:ext>
              </c:extLst>
            </c:dLbl>
            <c:dLbl>
              <c:idx val="4"/>
              <c:layout>
                <c:manualLayout>
                  <c:x val="0.16923998991125544"/>
                  <c:y val="-4.29854883206859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851-4632-95CF-AA3C72487DD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rynku_03 2025'!$B$57,'szacunek rynku_03 2025'!$B$66:$B$69)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rynku_03 2025'!$M$57,'szacunek rynku_03 2025'!$M$66:$M$69)</c:f>
              <c:numCache>
                <c:formatCode>#,##0</c:formatCode>
                <c:ptCount val="5"/>
                <c:pt idx="0">
                  <c:v>19239.392738806931</c:v>
                </c:pt>
                <c:pt idx="1">
                  <c:v>5890.5819567401059</c:v>
                </c:pt>
                <c:pt idx="2">
                  <c:v>208.49174852162429</c:v>
                </c:pt>
                <c:pt idx="3">
                  <c:v>310.26551066203376</c:v>
                </c:pt>
                <c:pt idx="4">
                  <c:v>124.06570406744483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8ABE-4B11-9616-5F58B2AB95A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8ABE-4B11-9616-5F58B2AB95A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8ABE-4B11-9616-5F58B2AB95A9}"/>
              </c:ext>
            </c:extLst>
          </c:dPt>
          <c:dLbls>
            <c:dLbl>
              <c:idx val="0"/>
              <c:layout>
                <c:manualLayout>
                  <c:x val="0.15713098231608985"/>
                  <c:y val="3.907772867932969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3569647347413475"/>
                  <c:y val="-3.9077728679329697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9021118911947721"/>
                  <c:y val="-7.815545735865939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ABE-4B11-9616-5F58B2AB95A9}"/>
                </c:ext>
              </c:extLst>
            </c:dLbl>
            <c:dLbl>
              <c:idx val="3"/>
              <c:layout>
                <c:manualLayout>
                  <c:x val="-2.8945180952963955E-2"/>
                  <c:y val="-0.1973425298306149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451450401016107"/>
                      <c:h val="0.13286427750972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8ABE-4B11-9616-5F58B2AB95A9}"/>
                </c:ext>
              </c:extLst>
            </c:dLbl>
            <c:dLbl>
              <c:idx val="4"/>
              <c:layout>
                <c:manualLayout>
                  <c:x val="0.20261626667074736"/>
                  <c:y val="-5.86165930189945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ABE-4B11-9616-5F58B2AB95A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rynku_03 2025'!$B$8,'szacunek rynku_03 2025'!$B$17:$B$20)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rynku_03 2025'!$N$8,'szacunek rynku_03 2025'!$N$17:$N$20)</c:f>
              <c:numCache>
                <c:formatCode>#,##0</c:formatCode>
                <c:ptCount val="5"/>
                <c:pt idx="0">
                  <c:v>18453.770897240134</c:v>
                </c:pt>
                <c:pt idx="1">
                  <c:v>3638.0439597862187</c:v>
                </c:pt>
                <c:pt idx="2">
                  <c:v>225.58193473798104</c:v>
                </c:pt>
                <c:pt idx="3">
                  <c:v>263.87137691723223</c:v>
                </c:pt>
                <c:pt idx="4">
                  <c:v>101.48344686247539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6006-4FAC-B4B0-B225F620A015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006-4FAC-B4B0-B225F620A0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6006-4FAC-B4B0-B225F620A015}"/>
              </c:ext>
            </c:extLst>
          </c:dPt>
          <c:dLbls>
            <c:dLbl>
              <c:idx val="0"/>
              <c:layout>
                <c:manualLayout>
                  <c:x val="0.13611235066127023"/>
                  <c:y val="0.1566162504158191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3198773397456509"/>
                  <c:y val="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0210621764855283"/>
                  <c:y val="-9.005434398909609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006-4FAC-B4B0-B225F620A015}"/>
                </c:ext>
              </c:extLst>
            </c:dLbl>
            <c:dLbl>
              <c:idx val="3"/>
              <c:layout>
                <c:manualLayout>
                  <c:x val="2.2685554163362102E-2"/>
                  <c:y val="-0.2133896411915537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1561833200501184"/>
                      <c:h val="0.140954625374237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6006-4FAC-B4B0-B225F620A015}"/>
                </c:ext>
              </c:extLst>
            </c:dLbl>
            <c:dLbl>
              <c:idx val="4"/>
              <c:layout>
                <c:manualLayout>
                  <c:x val="0.22272930108207858"/>
                  <c:y val="-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006-4FAC-B4B0-B225F620A01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rynku_03 2025'!$B$32,'szacunek rynku_03 2025'!$B$41:$B$44)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rynku_03 2025'!$N$32,'szacunek rynku_03 2025'!$N$41:$N$44)</c:f>
              <c:numCache>
                <c:formatCode>#,##0</c:formatCode>
                <c:ptCount val="5"/>
                <c:pt idx="0">
                  <c:v>1249.699399905481</c:v>
                </c:pt>
                <c:pt idx="1">
                  <c:v>2200.1720069720382</c:v>
                </c:pt>
                <c:pt idx="2">
                  <c:v>39.685968425501279</c:v>
                </c:pt>
                <c:pt idx="3">
                  <c:v>24.421165098273885</c:v>
                </c:pt>
                <c:pt idx="4">
                  <c:v>12.838593980787779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9132-44A8-9A47-95F54CE37E62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132-44A8-9A47-95F54CE37E6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9132-44A8-9A47-95F54CE37E62}"/>
              </c:ext>
            </c:extLst>
          </c:dPt>
          <c:dLbls>
            <c:dLbl>
              <c:idx val="0"/>
              <c:layout>
                <c:manualLayout>
                  <c:x val="0.23558410147397088"/>
                  <c:y val="0.1056130128537412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22731799265032276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7772133970843421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132-44A8-9A47-95F54CE37E62}"/>
                </c:ext>
              </c:extLst>
            </c:dLbl>
            <c:dLbl>
              <c:idx val="3"/>
              <c:layout>
                <c:manualLayout>
                  <c:x val="3.7197489706416453E-2"/>
                  <c:y val="-0.1975354499671826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907229525759669"/>
                      <c:h val="0.1251709781970266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9132-44A8-9A47-95F54CE37E62}"/>
                </c:ext>
              </c:extLst>
            </c:dLbl>
            <c:dLbl>
              <c:idx val="4"/>
              <c:layout>
                <c:manualLayout>
                  <c:x val="0.16532217647296202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9132-44A8-9A47-95F54CE37E62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rynku_03 2025'!$B$57,'szacunek rynku_03 2025'!$B$66:$B$69)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rynku_03 2025'!$N$57,'szacunek rynku_03 2025'!$N$66:$N$69)</c:f>
              <c:numCache>
                <c:formatCode>#,##0</c:formatCode>
                <c:ptCount val="5"/>
                <c:pt idx="0">
                  <c:v>19703.470297145617</c:v>
                </c:pt>
                <c:pt idx="1">
                  <c:v>5838.2159667582564</c:v>
                </c:pt>
                <c:pt idx="2">
                  <c:v>265.26790316348234</c:v>
                </c:pt>
                <c:pt idx="3">
                  <c:v>288.29254201550611</c:v>
                </c:pt>
                <c:pt idx="4">
                  <c:v>114.32204084326317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7,2%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23,3%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7,9%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35,3%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1953" y="1657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6781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15,0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I kw. 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6</xdr:row>
      <xdr:rowOff>127009</xdr:rowOff>
    </xdr:from>
    <xdr:to>
      <xdr:col>10</xdr:col>
      <xdr:colOff>716139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187677</xdr:colOff>
      <xdr:row>6</xdr:row>
      <xdr:rowOff>127009</xdr:rowOff>
    </xdr:from>
    <xdr:to>
      <xdr:col>15</xdr:col>
      <xdr:colOff>50799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45</xdr:row>
      <xdr:rowOff>146047</xdr:rowOff>
    </xdr:from>
    <xdr:to>
      <xdr:col>4</xdr:col>
      <xdr:colOff>904654</xdr:colOff>
      <xdr:row>47</xdr:row>
      <xdr:rowOff>104922</xdr:rowOff>
    </xdr:to>
    <xdr:sp macro="" textlink="'szacunek rynku_03 2025'!K1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0,3%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49</xdr:row>
      <xdr:rowOff>87536</xdr:rowOff>
    </xdr:from>
    <xdr:to>
      <xdr:col>4</xdr:col>
      <xdr:colOff>904654</xdr:colOff>
      <xdr:row>51</xdr:row>
      <xdr:rowOff>46411</xdr:rowOff>
    </xdr:to>
    <xdr:sp macro="" textlink="'szacunek rynku_03 2025'!K35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35,8%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53</xdr:row>
      <xdr:rowOff>146601</xdr:rowOff>
    </xdr:from>
    <xdr:to>
      <xdr:col>4</xdr:col>
      <xdr:colOff>904654</xdr:colOff>
      <xdr:row>55</xdr:row>
      <xdr:rowOff>105476</xdr:rowOff>
    </xdr:to>
    <xdr:sp macro="" textlink="'szacunek rynku_03 2025'!K60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53</xdr:row>
      <xdr:rowOff>146601</xdr:rowOff>
    </xdr:from>
    <xdr:to>
      <xdr:col>6</xdr:col>
      <xdr:colOff>589718</xdr:colOff>
      <xdr:row>55</xdr:row>
      <xdr:rowOff>105476</xdr:rowOff>
    </xdr:to>
    <xdr:sp macro="" textlink="'szacunek rynku_03 2025'!P60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49</xdr:row>
      <xdr:rowOff>87536</xdr:rowOff>
    </xdr:from>
    <xdr:to>
      <xdr:col>6</xdr:col>
      <xdr:colOff>589718</xdr:colOff>
      <xdr:row>51</xdr:row>
      <xdr:rowOff>46411</xdr:rowOff>
    </xdr:to>
    <xdr:sp macro="" textlink="'szacunek rynku_03 2025'!P35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24,9%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45</xdr:row>
      <xdr:rowOff>146047</xdr:rowOff>
    </xdr:from>
    <xdr:to>
      <xdr:col>6</xdr:col>
      <xdr:colOff>589718</xdr:colOff>
      <xdr:row>47</xdr:row>
      <xdr:rowOff>104922</xdr:rowOff>
    </xdr:to>
    <xdr:sp macro="" textlink="'szacunek rynku_03 2025'!P1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-5,4%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45</xdr:row>
      <xdr:rowOff>146046</xdr:rowOff>
    </xdr:from>
    <xdr:to>
      <xdr:col>3</xdr:col>
      <xdr:colOff>1176096</xdr:colOff>
      <xdr:row>47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49</xdr:row>
      <xdr:rowOff>87535</xdr:rowOff>
    </xdr:from>
    <xdr:to>
      <xdr:col>3</xdr:col>
      <xdr:colOff>1176096</xdr:colOff>
      <xdr:row>51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53</xdr:row>
      <xdr:rowOff>146600</xdr:rowOff>
    </xdr:from>
    <xdr:to>
      <xdr:col>3</xdr:col>
      <xdr:colOff>1176096</xdr:colOff>
      <xdr:row>55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43</xdr:row>
      <xdr:rowOff>1046</xdr:rowOff>
    </xdr:from>
    <xdr:to>
      <xdr:col>4</xdr:col>
      <xdr:colOff>904654</xdr:colOff>
      <xdr:row>44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43</xdr:row>
      <xdr:rowOff>1046</xdr:rowOff>
    </xdr:from>
    <xdr:to>
      <xdr:col>6</xdr:col>
      <xdr:colOff>589718</xdr:colOff>
      <xdr:row>44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52</xdr:row>
      <xdr:rowOff>96505</xdr:rowOff>
    </xdr:from>
    <xdr:to>
      <xdr:col>6</xdr:col>
      <xdr:colOff>732905</xdr:colOff>
      <xdr:row>52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41</xdr:row>
      <xdr:rowOff>107156</xdr:rowOff>
    </xdr:from>
    <xdr:to>
      <xdr:col>17</xdr:col>
      <xdr:colOff>333375</xdr:colOff>
      <xdr:row>51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39</xdr:row>
      <xdr:rowOff>127009</xdr:rowOff>
    </xdr:from>
    <xdr:to>
      <xdr:col>6</xdr:col>
      <xdr:colOff>627940</xdr:colOff>
      <xdr:row>42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1953" y="8388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56</xdr:row>
      <xdr:rowOff>48684</xdr:rowOff>
    </xdr:from>
    <xdr:to>
      <xdr:col>14</xdr:col>
      <xdr:colOff>564443</xdr:colOff>
      <xdr:row>65</xdr:row>
      <xdr:rowOff>127000</xdr:rowOff>
    </xdr:to>
    <xdr:sp macro="" textlink="">
      <xdr:nvSpPr>
        <xdr:cNvPr id="37" name="Prostokąt: zaokrąglone rogi 36">
          <a:extLst>
            <a:ext uri="{FF2B5EF4-FFF2-40B4-BE49-F238E27FC236}">
              <a16:creationId xmlns:a16="http://schemas.microsoft.com/office/drawing/2014/main" id="{FB453BFA-F7DB-44AE-9394-57E742BC7E17}"/>
            </a:ext>
          </a:extLst>
        </xdr:cNvPr>
        <xdr:cNvSpPr/>
      </xdr:nvSpPr>
      <xdr:spPr>
        <a:xfrm>
          <a:off x="842433" y="11440584"/>
          <a:ext cx="10910710" cy="174836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 marcu 2025 na plusie, po -25,8% r/r w III kw. 2024, -9,2% r/r w IV kw. 2024 oraz -7,1% r/r za 01-02/2025. Notujemy pierwszy wzrost w sektorze TRK od 1,5 roku.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nadal notują spadki.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Skokowo poprawiła się sytuacja w naczepach/przyczepach vs -7,3% r/r w styczniu 2025 i 3,2% r/r w lutym 2025. Oceniamy, że najgorsze w sektorze finansowania TRK już za nami, ale wciąż recesja w przemyśle strefy euro i trudna sytuacja finansowa firm transportowych, przekłada się na niski popyt inwestycyjny w transporcie drogowym międzynarodowym.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Lepszy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wynik w typowych ciężarówkach (bardziej związanych z popytem krajowym) i bardzo dobry w finansowaniu autobusów.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39</xdr:row>
      <xdr:rowOff>147810</xdr:rowOff>
    </xdr:from>
    <xdr:to>
      <xdr:col>3</xdr:col>
      <xdr:colOff>1176024</xdr:colOff>
      <xdr:row>44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4,5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 kw. 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39</xdr:row>
      <xdr:rowOff>127009</xdr:rowOff>
    </xdr:from>
    <xdr:to>
      <xdr:col>10</xdr:col>
      <xdr:colOff>716139</xdr:colOff>
      <xdr:row>55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39</xdr:row>
      <xdr:rowOff>127009</xdr:rowOff>
    </xdr:from>
    <xdr:to>
      <xdr:col>14</xdr:col>
      <xdr:colOff>603249</xdr:colOff>
      <xdr:row>55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78</xdr:row>
      <xdr:rowOff>146047</xdr:rowOff>
    </xdr:from>
    <xdr:to>
      <xdr:col>4</xdr:col>
      <xdr:colOff>904654</xdr:colOff>
      <xdr:row>80</xdr:row>
      <xdr:rowOff>104922</xdr:rowOff>
    </xdr:to>
    <xdr:sp macro="" textlink="'szacunek rynku_03 2025'!K1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-15,3%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82</xdr:row>
      <xdr:rowOff>87536</xdr:rowOff>
    </xdr:from>
    <xdr:to>
      <xdr:col>4</xdr:col>
      <xdr:colOff>904654</xdr:colOff>
      <xdr:row>84</xdr:row>
      <xdr:rowOff>46411</xdr:rowOff>
    </xdr:to>
    <xdr:sp macro="" textlink="'szacunek rynku_03 2025'!K41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35,8%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86</xdr:row>
      <xdr:rowOff>146601</xdr:rowOff>
    </xdr:from>
    <xdr:to>
      <xdr:col>4</xdr:col>
      <xdr:colOff>904654</xdr:colOff>
      <xdr:row>88</xdr:row>
      <xdr:rowOff>105476</xdr:rowOff>
    </xdr:to>
    <xdr:sp macro="" textlink="'szacunek rynku_03 2025'!K66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86</xdr:row>
      <xdr:rowOff>129283</xdr:rowOff>
    </xdr:from>
    <xdr:to>
      <xdr:col>6</xdr:col>
      <xdr:colOff>578172</xdr:colOff>
      <xdr:row>88</xdr:row>
      <xdr:rowOff>88158</xdr:rowOff>
    </xdr:to>
    <xdr:sp macro="" textlink="'szacunek rynku_03 2025'!P66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82</xdr:row>
      <xdr:rowOff>87536</xdr:rowOff>
    </xdr:from>
    <xdr:to>
      <xdr:col>6</xdr:col>
      <xdr:colOff>589718</xdr:colOff>
      <xdr:row>84</xdr:row>
      <xdr:rowOff>46411</xdr:rowOff>
    </xdr:to>
    <xdr:sp macro="" textlink="'szacunek rynku_03 2025'!P41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21,6%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78</xdr:row>
      <xdr:rowOff>146047</xdr:rowOff>
    </xdr:from>
    <xdr:to>
      <xdr:col>6</xdr:col>
      <xdr:colOff>589718</xdr:colOff>
      <xdr:row>80</xdr:row>
      <xdr:rowOff>104922</xdr:rowOff>
    </xdr:to>
    <xdr:sp macro="" textlink="'szacunek rynku_03 2025'!P1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-10,9%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78</xdr:row>
      <xdr:rowOff>146046</xdr:rowOff>
    </xdr:from>
    <xdr:to>
      <xdr:col>3</xdr:col>
      <xdr:colOff>1176096</xdr:colOff>
      <xdr:row>80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82</xdr:row>
      <xdr:rowOff>87535</xdr:rowOff>
    </xdr:from>
    <xdr:to>
      <xdr:col>3</xdr:col>
      <xdr:colOff>1176096</xdr:colOff>
      <xdr:row>84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86</xdr:row>
      <xdr:rowOff>146600</xdr:rowOff>
    </xdr:from>
    <xdr:to>
      <xdr:col>3</xdr:col>
      <xdr:colOff>1176096</xdr:colOff>
      <xdr:row>88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76</xdr:row>
      <xdr:rowOff>1046</xdr:rowOff>
    </xdr:from>
    <xdr:to>
      <xdr:col>4</xdr:col>
      <xdr:colOff>904654</xdr:colOff>
      <xdr:row>77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 03/2025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76</xdr:row>
      <xdr:rowOff>1046</xdr:rowOff>
    </xdr:from>
    <xdr:to>
      <xdr:col>6</xdr:col>
      <xdr:colOff>589718</xdr:colOff>
      <xdr:row>77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85</xdr:row>
      <xdr:rowOff>96505</xdr:rowOff>
    </xdr:from>
    <xdr:to>
      <xdr:col>6</xdr:col>
      <xdr:colOff>732905</xdr:colOff>
      <xdr:row>85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74</xdr:row>
      <xdr:rowOff>107156</xdr:rowOff>
    </xdr:from>
    <xdr:to>
      <xdr:col>17</xdr:col>
      <xdr:colOff>333375</xdr:colOff>
      <xdr:row>84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72</xdr:row>
      <xdr:rowOff>127009</xdr:rowOff>
    </xdr:from>
    <xdr:to>
      <xdr:col>6</xdr:col>
      <xdr:colOff>627940</xdr:colOff>
      <xdr:row>75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1953" y="15119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89</xdr:row>
      <xdr:rowOff>146050</xdr:rowOff>
    </xdr:from>
    <xdr:to>
      <xdr:col>14</xdr:col>
      <xdr:colOff>564443</xdr:colOff>
      <xdr:row>99</xdr:row>
      <xdr:rowOff>139700</xdr:rowOff>
    </xdr:to>
    <xdr:sp macro="" textlink="">
      <xdr:nvSpPr>
        <xdr:cNvPr id="58" name="Prostokąt: zaokrąglone rogi 57">
          <a:extLst>
            <a:ext uri="{FF2B5EF4-FFF2-40B4-BE49-F238E27FC236}">
              <a16:creationId xmlns:a16="http://schemas.microsoft.com/office/drawing/2014/main" id="{0A20EE40-D74A-458C-92DA-55918EC24D3C}"/>
            </a:ext>
          </a:extLst>
        </xdr:cNvPr>
        <xdr:cNvSpPr/>
      </xdr:nvSpPr>
      <xdr:spPr>
        <a:xfrm>
          <a:off x="842433" y="18275300"/>
          <a:ext cx="10910710" cy="186690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na niewielkim minusie w I kw. 2025, po +4,8% r/r za 2024. Sam marzec na nieznacznym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plusie po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-2,2 r/r w 01-02 2025. 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 finansowania maszyn budowlanych pod negatywnym wpływem hamowania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aktywności deweloperskiej na przełomie 2024 i 2025 roku, przy wciąż jeszcze niskiej aktywności w budownictwie infrastrukturalnym. Przekłada się na spatki w finansowaniu sprzętu BUD w marcu, po -3,9% r/r za 01/2025 oraz -10,9% r/r za 02/2025. Na wynik w pozostałych maszynach negatywnie oddziaływują słabe wyniki produkcji przemysłowej eksportowej. </a:t>
          </a:r>
          <a:r>
            <a:rPr lang="pl-PL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z /r za IV kw. 2024 do </a:t>
          </a: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drugiej strony obserwujemy  bardzo mocne odbicie w maszynach rolniczych (po -5,0% r/r za IV kw. oraz 13,1% r/r w 01-02 2025), co wiąże się już z rosnącymi cenami skupu podstawowych produktów rolnych i wynikającą z tego poprawą nastrojów wśród gospodarstw rolnych.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72</xdr:row>
      <xdr:rowOff>147810</xdr:rowOff>
    </xdr:from>
    <xdr:to>
      <xdr:col>3</xdr:col>
      <xdr:colOff>1176024</xdr:colOff>
      <xdr:row>77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5,9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 kw. 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72</xdr:row>
      <xdr:rowOff>127009</xdr:rowOff>
    </xdr:from>
    <xdr:to>
      <xdr:col>10</xdr:col>
      <xdr:colOff>684389</xdr:colOff>
      <xdr:row>88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72</xdr:row>
      <xdr:rowOff>127009</xdr:rowOff>
    </xdr:from>
    <xdr:to>
      <xdr:col>14</xdr:col>
      <xdr:colOff>571499</xdr:colOff>
      <xdr:row>88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37</xdr:row>
      <xdr:rowOff>16935</xdr:rowOff>
    </xdr:from>
    <xdr:to>
      <xdr:col>3</xdr:col>
      <xdr:colOff>475457</xdr:colOff>
      <xdr:row>37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70</xdr:row>
      <xdr:rowOff>80433</xdr:rowOff>
    </xdr:from>
    <xdr:to>
      <xdr:col>3</xdr:col>
      <xdr:colOff>317500</xdr:colOff>
      <xdr:row>70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111</xdr:row>
      <xdr:rowOff>146047</xdr:rowOff>
    </xdr:from>
    <xdr:to>
      <xdr:col>4</xdr:col>
      <xdr:colOff>904654</xdr:colOff>
      <xdr:row>113</xdr:row>
      <xdr:rowOff>104922</xdr:rowOff>
    </xdr:to>
    <xdr:sp macro="" textlink="'szacunek rynku_03 2025'!K22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115</xdr:row>
      <xdr:rowOff>87536</xdr:rowOff>
    </xdr:from>
    <xdr:to>
      <xdr:col>4</xdr:col>
      <xdr:colOff>904654</xdr:colOff>
      <xdr:row>117</xdr:row>
      <xdr:rowOff>46411</xdr:rowOff>
    </xdr:to>
    <xdr:sp macro="" textlink="'szacunek rynku_03 2025'!K46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31,9%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119</xdr:row>
      <xdr:rowOff>146601</xdr:rowOff>
    </xdr:from>
    <xdr:to>
      <xdr:col>4</xdr:col>
      <xdr:colOff>904654</xdr:colOff>
      <xdr:row>121</xdr:row>
      <xdr:rowOff>105476</xdr:rowOff>
    </xdr:to>
    <xdr:sp macro="" textlink="'szacunek rynku_03 2025'!K71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119</xdr:row>
      <xdr:rowOff>146601</xdr:rowOff>
    </xdr:from>
    <xdr:to>
      <xdr:col>6</xdr:col>
      <xdr:colOff>589718</xdr:colOff>
      <xdr:row>121</xdr:row>
      <xdr:rowOff>105476</xdr:rowOff>
    </xdr:to>
    <xdr:sp macro="" textlink="'szacunek rynku_03 2025'!P71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115</xdr:row>
      <xdr:rowOff>87536</xdr:rowOff>
    </xdr:from>
    <xdr:to>
      <xdr:col>6</xdr:col>
      <xdr:colOff>589718</xdr:colOff>
      <xdr:row>117</xdr:row>
      <xdr:rowOff>46411</xdr:rowOff>
    </xdr:to>
    <xdr:sp macro="" textlink="'szacunek rynku_03 2025'!P46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24,3%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111</xdr:row>
      <xdr:rowOff>146047</xdr:rowOff>
    </xdr:from>
    <xdr:to>
      <xdr:col>6</xdr:col>
      <xdr:colOff>589718</xdr:colOff>
      <xdr:row>113</xdr:row>
      <xdr:rowOff>104922</xdr:rowOff>
    </xdr:to>
    <xdr:sp macro="" textlink="'szacunek rynku_03 2025'!P22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111</xdr:row>
      <xdr:rowOff>146046</xdr:rowOff>
    </xdr:from>
    <xdr:to>
      <xdr:col>3</xdr:col>
      <xdr:colOff>1176096</xdr:colOff>
      <xdr:row>113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115</xdr:row>
      <xdr:rowOff>87535</xdr:rowOff>
    </xdr:from>
    <xdr:to>
      <xdr:col>3</xdr:col>
      <xdr:colOff>1176096</xdr:colOff>
      <xdr:row>117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119</xdr:row>
      <xdr:rowOff>10526</xdr:rowOff>
    </xdr:from>
    <xdr:to>
      <xdr:col>3</xdr:col>
      <xdr:colOff>1176096</xdr:colOff>
      <xdr:row>122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109</xdr:row>
      <xdr:rowOff>1046</xdr:rowOff>
    </xdr:from>
    <xdr:to>
      <xdr:col>4</xdr:col>
      <xdr:colOff>904654</xdr:colOff>
      <xdr:row>110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109</xdr:row>
      <xdr:rowOff>1046</xdr:rowOff>
    </xdr:from>
    <xdr:to>
      <xdr:col>6</xdr:col>
      <xdr:colOff>589718</xdr:colOff>
      <xdr:row>110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118</xdr:row>
      <xdr:rowOff>96505</xdr:rowOff>
    </xdr:from>
    <xdr:to>
      <xdr:col>6</xdr:col>
      <xdr:colOff>732905</xdr:colOff>
      <xdr:row>118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105</xdr:row>
      <xdr:rowOff>127009</xdr:rowOff>
    </xdr:from>
    <xdr:to>
      <xdr:col>6</xdr:col>
      <xdr:colOff>627940</xdr:colOff>
      <xdr:row>108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123</xdr:row>
      <xdr:rowOff>70561</xdr:rowOff>
    </xdr:from>
    <xdr:to>
      <xdr:col>14</xdr:col>
      <xdr:colOff>564443</xdr:colOff>
      <xdr:row>131</xdr:row>
      <xdr:rowOff>47278</xdr:rowOff>
    </xdr:to>
    <xdr:sp macro="" textlink="">
      <xdr:nvSpPr>
        <xdr:cNvPr id="82" name="Prostokąt: zaokrąglone rogi 81">
          <a:extLst>
            <a:ext uri="{FF2B5EF4-FFF2-40B4-BE49-F238E27FC236}">
              <a16:creationId xmlns:a16="http://schemas.microsoft.com/office/drawing/2014/main" id="{95A57E36-46A7-41B1-BA87-D9C4D28A71D3}"/>
            </a:ext>
          </a:extLst>
        </xdr:cNvPr>
        <xdr:cNvSpPr/>
      </xdr:nvSpPr>
      <xdr:spPr>
        <a:xfrm>
          <a:off x="842433" y="25070511"/>
          <a:ext cx="10910710" cy="1449917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Ostrożnie rozpoczynamy 2025 rok, a dodatnia dynamika budowana jest przez finansowanie aktywów w pożyczce. Wynik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rynku za marzec zauważalnie powyżej -0,2% r/r uzyskane za dwa pierwsze miesiące 2025.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dalszy wzrost znaczenia OSD w stukturze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ok. 13-proc. wzrost finansowania aktywów przez firmy leasingowe w 2025 roku, zgodnie z ostatnią prognozą ZPL.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105</xdr:row>
      <xdr:rowOff>147810</xdr:rowOff>
    </xdr:from>
    <xdr:to>
      <xdr:col>3</xdr:col>
      <xdr:colOff>1176024</xdr:colOff>
      <xdr:row>110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26,2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 kw. 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105</xdr:row>
      <xdr:rowOff>127009</xdr:rowOff>
    </xdr:from>
    <xdr:to>
      <xdr:col>10</xdr:col>
      <xdr:colOff>684389</xdr:colOff>
      <xdr:row>121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105</xdr:row>
      <xdr:rowOff>127009</xdr:rowOff>
    </xdr:from>
    <xdr:to>
      <xdr:col>14</xdr:col>
      <xdr:colOff>571499</xdr:colOff>
      <xdr:row>121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3 2025'!K58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9,7%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3 2025'!K59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-3,0%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3 2025'!P59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3 2025'!P58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45</xdr:row>
      <xdr:rowOff>177797</xdr:rowOff>
    </xdr:from>
    <xdr:to>
      <xdr:col>20</xdr:col>
      <xdr:colOff>1404697</xdr:colOff>
      <xdr:row>47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48</xdr:row>
      <xdr:rowOff>145594</xdr:rowOff>
    </xdr:from>
    <xdr:to>
      <xdr:col>20</xdr:col>
      <xdr:colOff>1404697</xdr:colOff>
      <xdr:row>50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45</xdr:row>
      <xdr:rowOff>177797</xdr:rowOff>
    </xdr:from>
    <xdr:to>
      <xdr:col>22</xdr:col>
      <xdr:colOff>38689</xdr:colOff>
      <xdr:row>47</xdr:row>
      <xdr:rowOff>136672</xdr:rowOff>
    </xdr:to>
    <xdr:sp macro="" textlink="'szacunek rynku_03 2025'!K61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12,5%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48</xdr:row>
      <xdr:rowOff>145594</xdr:rowOff>
    </xdr:from>
    <xdr:to>
      <xdr:col>22</xdr:col>
      <xdr:colOff>38689</xdr:colOff>
      <xdr:row>50</xdr:row>
      <xdr:rowOff>104468</xdr:rowOff>
    </xdr:to>
    <xdr:sp macro="" textlink="'szacunek rynku_03 2025'!K62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-15,9%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48</xdr:row>
      <xdr:rowOff>145594</xdr:rowOff>
    </xdr:from>
    <xdr:to>
      <xdr:col>24</xdr:col>
      <xdr:colOff>195579</xdr:colOff>
      <xdr:row>50</xdr:row>
      <xdr:rowOff>104468</xdr:rowOff>
    </xdr:to>
    <xdr:sp macro="" textlink="'szacunek rynku_03 2025'!P62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-16,8%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43</xdr:row>
      <xdr:rowOff>89946</xdr:rowOff>
    </xdr:from>
    <xdr:to>
      <xdr:col>22</xdr:col>
      <xdr:colOff>38689</xdr:colOff>
      <xdr:row>45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43</xdr:row>
      <xdr:rowOff>89946</xdr:rowOff>
    </xdr:from>
    <xdr:to>
      <xdr:col>24</xdr:col>
      <xdr:colOff>195579</xdr:colOff>
      <xdr:row>45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45</xdr:row>
      <xdr:rowOff>177796</xdr:rowOff>
    </xdr:from>
    <xdr:to>
      <xdr:col>24</xdr:col>
      <xdr:colOff>195579</xdr:colOff>
      <xdr:row>47</xdr:row>
      <xdr:rowOff>136672</xdr:rowOff>
    </xdr:to>
    <xdr:sp macro="" textlink="'szacunek rynku_03 2025'!P61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39</xdr:row>
      <xdr:rowOff>127009</xdr:rowOff>
    </xdr:from>
    <xdr:to>
      <xdr:col>24</xdr:col>
      <xdr:colOff>195579</xdr:colOff>
      <xdr:row>42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51</xdr:row>
      <xdr:rowOff>113390</xdr:rowOff>
    </xdr:from>
    <xdr:to>
      <xdr:col>20</xdr:col>
      <xdr:colOff>1404697</xdr:colOff>
      <xdr:row>53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51</xdr:row>
      <xdr:rowOff>113390</xdr:rowOff>
    </xdr:from>
    <xdr:to>
      <xdr:col>22</xdr:col>
      <xdr:colOff>13289</xdr:colOff>
      <xdr:row>53</xdr:row>
      <xdr:rowOff>72264</xdr:rowOff>
    </xdr:to>
    <xdr:sp macro="" textlink="'szacunek rynku_03 2025'!K63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34,1%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51</xdr:row>
      <xdr:rowOff>113390</xdr:rowOff>
    </xdr:from>
    <xdr:to>
      <xdr:col>24</xdr:col>
      <xdr:colOff>170179</xdr:colOff>
      <xdr:row>53</xdr:row>
      <xdr:rowOff>72264</xdr:rowOff>
    </xdr:to>
    <xdr:sp macro="" textlink="'szacunek rynku_03 2025'!P63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11,5%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54</xdr:row>
      <xdr:rowOff>81187</xdr:rowOff>
    </xdr:from>
    <xdr:to>
      <xdr:col>20</xdr:col>
      <xdr:colOff>1404697</xdr:colOff>
      <xdr:row>56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54</xdr:row>
      <xdr:rowOff>81187</xdr:rowOff>
    </xdr:from>
    <xdr:to>
      <xdr:col>22</xdr:col>
      <xdr:colOff>25989</xdr:colOff>
      <xdr:row>56</xdr:row>
      <xdr:rowOff>40061</xdr:rowOff>
    </xdr:to>
    <xdr:sp macro="" textlink="'szacunek rynku_03 2025'!K64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37,6%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54</xdr:row>
      <xdr:rowOff>81187</xdr:rowOff>
    </xdr:from>
    <xdr:to>
      <xdr:col>24</xdr:col>
      <xdr:colOff>182879</xdr:colOff>
      <xdr:row>56</xdr:row>
      <xdr:rowOff>40061</xdr:rowOff>
    </xdr:to>
    <xdr:sp macro="" textlink="'szacunek rynku_03 2025'!P64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47,5%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79</xdr:row>
      <xdr:rowOff>6338</xdr:rowOff>
    </xdr:from>
    <xdr:to>
      <xdr:col>20</xdr:col>
      <xdr:colOff>1385663</xdr:colOff>
      <xdr:row>80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82</xdr:row>
      <xdr:rowOff>5885</xdr:rowOff>
    </xdr:from>
    <xdr:to>
      <xdr:col>20</xdr:col>
      <xdr:colOff>1385663</xdr:colOff>
      <xdr:row>83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79</xdr:row>
      <xdr:rowOff>6338</xdr:rowOff>
    </xdr:from>
    <xdr:to>
      <xdr:col>22</xdr:col>
      <xdr:colOff>19655</xdr:colOff>
      <xdr:row>80</xdr:row>
      <xdr:rowOff>149363</xdr:rowOff>
    </xdr:to>
    <xdr:sp macro="" textlink="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53B2E0A-7C65-4350-987F-E1368165E48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-6.6%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82</xdr:row>
      <xdr:rowOff>5885</xdr:rowOff>
    </xdr:from>
    <xdr:to>
      <xdr:col>22</xdr:col>
      <xdr:colOff>19655</xdr:colOff>
      <xdr:row>83</xdr:row>
      <xdr:rowOff>148909</xdr:rowOff>
    </xdr:to>
    <xdr:sp macro="" textlink="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19C949-51CD-4305-9CFC-8029F3BB026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47.3%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82</xdr:row>
      <xdr:rowOff>5885</xdr:rowOff>
    </xdr:from>
    <xdr:to>
      <xdr:col>24</xdr:col>
      <xdr:colOff>176545</xdr:colOff>
      <xdr:row>83</xdr:row>
      <xdr:rowOff>148909</xdr:rowOff>
    </xdr:to>
    <xdr:sp macro="" textlink="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195A16-F3EA-43D9-9369-2AEB8D6FCC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26.8%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76</xdr:row>
      <xdr:rowOff>102637</xdr:rowOff>
    </xdr:from>
    <xdr:to>
      <xdr:col>22</xdr:col>
      <xdr:colOff>19655</xdr:colOff>
      <xdr:row>78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797763" y="15806187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76</xdr:row>
      <xdr:rowOff>102637</xdr:rowOff>
    </xdr:from>
    <xdr:to>
      <xdr:col>24</xdr:col>
      <xdr:colOff>176545</xdr:colOff>
      <xdr:row>78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79</xdr:row>
      <xdr:rowOff>6337</xdr:rowOff>
    </xdr:from>
    <xdr:to>
      <xdr:col>24</xdr:col>
      <xdr:colOff>176545</xdr:colOff>
      <xdr:row>80</xdr:row>
      <xdr:rowOff>149363</xdr:rowOff>
    </xdr:to>
    <xdr:sp macro="" textlink="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E81FFA7-CE12-42CF-AC26-6AA359377CB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-7.2%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72</xdr:row>
      <xdr:rowOff>139700</xdr:rowOff>
    </xdr:from>
    <xdr:to>
      <xdr:col>24</xdr:col>
      <xdr:colOff>176545</xdr:colOff>
      <xdr:row>75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85</xdr:row>
      <xdr:rowOff>5431</xdr:rowOff>
    </xdr:from>
    <xdr:to>
      <xdr:col>20</xdr:col>
      <xdr:colOff>1385663</xdr:colOff>
      <xdr:row>86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85</xdr:row>
      <xdr:rowOff>5431</xdr:rowOff>
    </xdr:from>
    <xdr:to>
      <xdr:col>21</xdr:col>
      <xdr:colOff>1022955</xdr:colOff>
      <xdr:row>86</xdr:row>
      <xdr:rowOff>148455</xdr:rowOff>
    </xdr:to>
    <xdr:sp macro="" textlink="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3129F6E-768B-4E7A-8680-6D94AB433AF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-14.9%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85</xdr:row>
      <xdr:rowOff>5431</xdr:rowOff>
    </xdr:from>
    <xdr:to>
      <xdr:col>24</xdr:col>
      <xdr:colOff>151145</xdr:colOff>
      <xdr:row>86</xdr:row>
      <xdr:rowOff>148455</xdr:rowOff>
    </xdr:to>
    <xdr:sp macro="" textlink="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A195EE-9048-43D2-A41C-237D51BD1B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-9.5%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38100</xdr:colOff>
      <xdr:row>24</xdr:row>
      <xdr:rowOff>23995</xdr:rowOff>
    </xdr:from>
    <xdr:to>
      <xdr:col>14</xdr:col>
      <xdr:colOff>613127</xdr:colOff>
      <xdr:row>32</xdr:row>
      <xdr:rowOff>21879</xdr:rowOff>
    </xdr:to>
    <xdr:sp macro="" textlink="">
      <xdr:nvSpPr>
        <xdr:cNvPr id="124" name="Prostokąt: zaokrąglone rogi 123">
          <a:extLst>
            <a:ext uri="{FF2B5EF4-FFF2-40B4-BE49-F238E27FC236}">
              <a16:creationId xmlns:a16="http://schemas.microsoft.com/office/drawing/2014/main" id="{060494DA-F894-42B4-BBE6-EF03E3CD1648}"/>
            </a:ext>
          </a:extLst>
        </xdr:cNvPr>
        <xdr:cNvSpPr/>
      </xdr:nvSpPr>
      <xdr:spPr>
        <a:xfrm>
          <a:off x="895350" y="5040495"/>
          <a:ext cx="10576277" cy="152188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wciąż pozostają główną siłą napędową całego rynku leasingu, ale już ze znacznie niższym tempem rozwoju niż w latach 2023-2024.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przyspieszyła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marcu do 7,9% r/r,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 0,2% r/r w lutym 2025 i 5,2% r/r w styczniu 2025. To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nadal wyraźnie poniżej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24,7% r/r za cały 2024 roku.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 kwartału w OSD trochę pod negatywnym wpływem wysokiej aktywności sprzedażowej całej branży w IV kw. 2024. Oczekujemy, że wzrost gospodarczy w 2025, który będzie mocno bazował na popycie konsumpcyjnym, przełoży się na wzrost finansowania OSD w dalszej części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164088</xdr:colOff>
      <xdr:row>4</xdr:row>
      <xdr:rowOff>384998</xdr:rowOff>
    </xdr:from>
    <xdr:to>
      <xdr:col>21</xdr:col>
      <xdr:colOff>589016</xdr:colOff>
      <xdr:row>25</xdr:row>
      <xdr:rowOff>38797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164088</xdr:colOff>
      <xdr:row>29</xdr:row>
      <xdr:rowOff>346086</xdr:rowOff>
    </xdr:from>
    <xdr:to>
      <xdr:col>21</xdr:col>
      <xdr:colOff>588927</xdr:colOff>
      <xdr:row>49</xdr:row>
      <xdr:rowOff>157887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164088</xdr:colOff>
      <xdr:row>54</xdr:row>
      <xdr:rowOff>266463</xdr:rowOff>
    </xdr:from>
    <xdr:to>
      <xdr:col>21</xdr:col>
      <xdr:colOff>588438</xdr:colOff>
      <xdr:row>74</xdr:row>
      <xdr:rowOff>82513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205747</xdr:colOff>
      <xdr:row>4</xdr:row>
      <xdr:rowOff>379189</xdr:rowOff>
    </xdr:from>
    <xdr:to>
      <xdr:col>28</xdr:col>
      <xdr:colOff>77647</xdr:colOff>
      <xdr:row>25</xdr:row>
      <xdr:rowOff>32960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239939</xdr:colOff>
      <xdr:row>29</xdr:row>
      <xdr:rowOff>358673</xdr:rowOff>
    </xdr:from>
    <xdr:to>
      <xdr:col>28</xdr:col>
      <xdr:colOff>119590</xdr:colOff>
      <xdr:row>49</xdr:row>
      <xdr:rowOff>167299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239939</xdr:colOff>
      <xdr:row>54</xdr:row>
      <xdr:rowOff>284152</xdr:rowOff>
    </xdr:from>
    <xdr:to>
      <xdr:col>28</xdr:col>
      <xdr:colOff>113304</xdr:colOff>
      <xdr:row>74</xdr:row>
      <xdr:rowOff>97027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3 2025'!$M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marL="0" indent="0" algn="ctr"/>
          <a:fld id="{EE573F98-4A5E-47A5-8028-A32CB29396B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3 2025'!$M$31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7AAEADA1-82E4-4BC8-9396-CCE49B458408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3 2025'!$M$56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6AB9256F-495E-486C-BB42-81E286D2614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3 2025'!$N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EE320CA-1939-4BCB-B9B4-E9D273C5EF9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3 2025'!$N$31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7C68544-B0B8-40B9-867E-7CB5810E735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3 2025'!$N$56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F1A72856-0FB9-467B-80DA-87BF7681865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3"/>
  <sheetViews>
    <sheetView showGridLines="0" zoomScaleNormal="100" workbookViewId="0">
      <selection activeCell="B2" sqref="B2"/>
    </sheetView>
  </sheetViews>
  <sheetFormatPr defaultRowHeight="15" x14ac:dyDescent="0.25"/>
  <cols>
    <col min="2" max="2" width="3.5703125" customWidth="1"/>
    <col min="4" max="4" width="27" customWidth="1"/>
    <col min="5" max="7" width="14.7109375" customWidth="1"/>
    <col min="11" max="11" width="10.42578125" bestFit="1" customWidth="1"/>
    <col min="12" max="14" width="10.42578125" customWidth="1"/>
    <col min="16" max="16" width="3.5703125" customWidth="1"/>
    <col min="19" max="19" width="3.5703125" customWidth="1"/>
    <col min="21" max="21" width="27" customWidth="1"/>
    <col min="22" max="23" width="14.7109375" customWidth="1"/>
    <col min="29" max="29" width="3.5703125" customWidth="1"/>
  </cols>
  <sheetData>
    <row r="2" spans="2:31" ht="21" x14ac:dyDescent="0.35">
      <c r="B2" s="168" t="s">
        <v>92</v>
      </c>
    </row>
    <row r="3" spans="2:31" ht="21.75" thickBot="1" x14ac:dyDescent="0.4">
      <c r="C3" s="168"/>
    </row>
    <row r="4" spans="2:31" ht="15.75" thickTop="1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25">
      <c r="B5" s="4"/>
      <c r="C5" s="163" t="s">
        <v>28</v>
      </c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5"/>
      <c r="S5" s="4"/>
      <c r="T5" s="163" t="s">
        <v>87</v>
      </c>
      <c r="U5" s="163"/>
      <c r="V5" s="163"/>
      <c r="W5" s="163"/>
      <c r="X5" s="163"/>
      <c r="Y5" s="163"/>
      <c r="Z5" s="163"/>
      <c r="AA5" s="163"/>
      <c r="AB5" s="163"/>
      <c r="AC5" s="5"/>
      <c r="AE5" s="7"/>
    </row>
    <row r="6" spans="2:31" x14ac:dyDescent="0.25">
      <c r="B6" s="8"/>
      <c r="P6" s="9"/>
      <c r="S6" s="8"/>
      <c r="AC6" s="9"/>
    </row>
    <row r="7" spans="2:31" x14ac:dyDescent="0.25">
      <c r="B7" s="8"/>
      <c r="P7" s="9"/>
      <c r="S7" s="8"/>
      <c r="AC7" s="9"/>
    </row>
    <row r="8" spans="2:31" x14ac:dyDescent="0.25">
      <c r="B8" s="8"/>
      <c r="P8" s="9"/>
      <c r="S8" s="8"/>
      <c r="AC8" s="9"/>
    </row>
    <row r="9" spans="2:31" x14ac:dyDescent="0.25">
      <c r="B9" s="8"/>
      <c r="P9" s="9"/>
      <c r="S9" s="8"/>
      <c r="AC9" s="9"/>
    </row>
    <row r="10" spans="2:31" x14ac:dyDescent="0.25">
      <c r="B10" s="8"/>
      <c r="J10" s="61" t="s">
        <v>86</v>
      </c>
      <c r="N10" s="61" t="s">
        <v>86</v>
      </c>
      <c r="P10" s="9"/>
      <c r="S10" s="8"/>
      <c r="V10" s="14"/>
      <c r="AC10" s="9"/>
    </row>
    <row r="11" spans="2:31" x14ac:dyDescent="0.25">
      <c r="B11" s="8"/>
      <c r="I11" t="s">
        <v>1</v>
      </c>
      <c r="J11" s="62">
        <f>('szacunek rynku_03 2025'!N9+'szacunek rynku_03 2025'!N10)/('szacunek rynku_03 2025'!N58+'szacunek rynku_03 2025'!N59)</f>
        <v>0.94507298400984707</v>
      </c>
      <c r="M11" t="s">
        <v>0</v>
      </c>
      <c r="N11" s="62">
        <f>'szacunek rynku_03 2025'!N58/SUM('szacunek rynku_03 2025'!I58:N59)</f>
        <v>0.37237061187357984</v>
      </c>
      <c r="P11" s="9"/>
      <c r="S11" s="8"/>
      <c r="V11" s="64"/>
      <c r="Z11" s="13"/>
      <c r="AC11" s="9"/>
    </row>
    <row r="12" spans="2:31" x14ac:dyDescent="0.25">
      <c r="B12" s="8"/>
      <c r="I12" t="s">
        <v>2</v>
      </c>
      <c r="J12" s="62">
        <f>1-J11</f>
        <v>5.4927015990152928E-2</v>
      </c>
      <c r="M12" t="s">
        <v>3</v>
      </c>
      <c r="N12" s="62">
        <f>1-N11</f>
        <v>0.62762938812642011</v>
      </c>
      <c r="P12" s="9"/>
      <c r="S12" s="8"/>
      <c r="V12" s="64"/>
      <c r="Z12" s="13"/>
      <c r="AA12" s="69"/>
      <c r="AC12" s="9"/>
    </row>
    <row r="13" spans="2:31" x14ac:dyDescent="0.25">
      <c r="B13" s="8"/>
      <c r="P13" s="9"/>
      <c r="S13" s="8"/>
      <c r="Z13" s="13"/>
      <c r="AC13" s="9"/>
    </row>
    <row r="14" spans="2:31" x14ac:dyDescent="0.25">
      <c r="B14" s="8"/>
      <c r="I14" t="s">
        <v>1</v>
      </c>
      <c r="J14" s="63">
        <f>('szacunek rynku_03 2025'!I9+'szacunek rynku_03 2025'!I10)/('szacunek rynku_03 2025'!H9+'szacunek rynku_03 2025'!H10)-1</f>
        <v>7.186020600003773E-2</v>
      </c>
      <c r="K14" s="62">
        <f>('szacunek rynku_03 2025'!N9+'szacunek rynku_03 2025'!N10)/('szacunek rynku_03 2025'!M9+'szacunek rynku_03 2025'!M10)-1</f>
        <v>3.1615151636370964E-2</v>
      </c>
      <c r="P14" s="9"/>
      <c r="S14" s="8"/>
      <c r="AC14" s="9"/>
    </row>
    <row r="15" spans="2:31" x14ac:dyDescent="0.25">
      <c r="B15" s="8"/>
      <c r="I15" t="s">
        <v>2</v>
      </c>
      <c r="J15" s="63">
        <f>('szacunek rynku_03 2025'!I33+'szacunek rynku_03 2025'!I34)/('szacunek rynku_03 2025'!H33+'szacunek rynku_03 2025'!H34)-1</f>
        <v>0.23326282952813759</v>
      </c>
      <c r="K15" s="62">
        <f>('szacunek rynku_03 2025'!N33+'szacunek rynku_03 2025'!N34)/('szacunek rynku_03 2025'!M33+'szacunek rynku_03 2025'!M34)-1</f>
        <v>0.35340266451218572</v>
      </c>
      <c r="P15" s="9"/>
      <c r="S15" s="8"/>
      <c r="AC15" s="9"/>
    </row>
    <row r="16" spans="2:31" x14ac:dyDescent="0.25">
      <c r="B16" s="8"/>
      <c r="I16" t="s">
        <v>34</v>
      </c>
      <c r="J16" s="63">
        <f>('szacunek rynku_03 2025'!I59+'szacunek rynku_03 2025'!I58)/('szacunek rynku_03 2025'!H58+'szacunek rynku_03 2025'!H59)-1</f>
        <v>7.9186019423352239E-2</v>
      </c>
      <c r="K16" s="62">
        <f>('szacunek rynku_03 2025'!N59+'szacunek rynku_03 2025'!N58)/('szacunek rynku_03 2025'!M58+'szacunek rynku_03 2025'!M59)-1</f>
        <v>4.52658518224478E-2</v>
      </c>
      <c r="P16" s="9"/>
      <c r="S16" s="8"/>
      <c r="AC16" s="9"/>
    </row>
    <row r="17" spans="2:29" x14ac:dyDescent="0.25">
      <c r="B17" s="8"/>
      <c r="P17" s="9"/>
      <c r="S17" s="8"/>
      <c r="AC17" s="9"/>
    </row>
    <row r="18" spans="2:29" x14ac:dyDescent="0.25">
      <c r="B18" s="8"/>
      <c r="P18" s="9"/>
      <c r="S18" s="8"/>
      <c r="AC18" s="9"/>
    </row>
    <row r="19" spans="2:29" x14ac:dyDescent="0.25">
      <c r="B19" s="8"/>
      <c r="P19" s="9"/>
      <c r="S19" s="8"/>
      <c r="AC19" s="9"/>
    </row>
    <row r="20" spans="2:29" x14ac:dyDescent="0.25">
      <c r="B20" s="8"/>
      <c r="P20" s="9"/>
      <c r="S20" s="8"/>
      <c r="AC20" s="9"/>
    </row>
    <row r="21" spans="2:29" x14ac:dyDescent="0.25">
      <c r="B21" s="8"/>
      <c r="P21" s="9"/>
      <c r="S21" s="8"/>
      <c r="AC21" s="9"/>
    </row>
    <row r="22" spans="2:29" x14ac:dyDescent="0.25">
      <c r="B22" s="8"/>
      <c r="P22" s="9"/>
      <c r="S22" s="8"/>
      <c r="AC22" s="9"/>
    </row>
    <row r="23" spans="2:29" ht="15.75" thickBot="1" x14ac:dyDescent="0.3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.75" thickTop="1" x14ac:dyDescent="0.25">
      <c r="B24" s="8"/>
      <c r="P24" s="9"/>
    </row>
    <row r="25" spans="2:29" x14ac:dyDescent="0.25">
      <c r="B25" s="8"/>
      <c r="P25" s="9"/>
    </row>
    <row r="26" spans="2:29" x14ac:dyDescent="0.25">
      <c r="B26" s="8"/>
      <c r="P26" s="9"/>
    </row>
    <row r="27" spans="2:29" x14ac:dyDescent="0.25">
      <c r="B27" s="8"/>
      <c r="P27" s="9"/>
    </row>
    <row r="28" spans="2:29" x14ac:dyDescent="0.25">
      <c r="B28" s="8"/>
      <c r="P28" s="9"/>
    </row>
    <row r="29" spans="2:29" x14ac:dyDescent="0.25">
      <c r="B29" s="8"/>
      <c r="P29" s="9"/>
    </row>
    <row r="30" spans="2:29" x14ac:dyDescent="0.25">
      <c r="B30" s="8"/>
      <c r="P30" s="9"/>
    </row>
    <row r="31" spans="2:29" x14ac:dyDescent="0.25">
      <c r="B31" s="8"/>
      <c r="P31" s="9"/>
    </row>
    <row r="32" spans="2:29" x14ac:dyDescent="0.25">
      <c r="B32" s="8"/>
      <c r="P32" s="9"/>
    </row>
    <row r="33" spans="2:31" ht="16.5" customHeight="1" thickBot="1" x14ac:dyDescent="0.3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31" ht="15.75" thickTop="1" x14ac:dyDescent="0.25"/>
    <row r="36" spans="2:31" ht="15.75" thickBot="1" x14ac:dyDescent="0.3"/>
    <row r="37" spans="2:31" ht="15.75" thickTop="1" x14ac:dyDescent="0.25"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S37" s="1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2:31" s="6" customFormat="1" ht="61.5" customHeight="1" x14ac:dyDescent="0.25">
      <c r="B38" s="4"/>
      <c r="C38" s="163" t="s">
        <v>29</v>
      </c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5"/>
      <c r="S38" s="4"/>
      <c r="T38" s="163" t="s">
        <v>89</v>
      </c>
      <c r="U38" s="163"/>
      <c r="V38" s="163"/>
      <c r="W38" s="163"/>
      <c r="X38" s="163"/>
      <c r="Y38" s="163"/>
      <c r="Z38" s="163"/>
      <c r="AA38" s="163"/>
      <c r="AB38" s="163"/>
      <c r="AC38" s="5"/>
      <c r="AE38" s="7"/>
    </row>
    <row r="39" spans="2:31" x14ac:dyDescent="0.25">
      <c r="B39" s="8"/>
      <c r="P39" s="9"/>
      <c r="S39" s="8"/>
      <c r="AC39" s="9"/>
    </row>
    <row r="40" spans="2:31" x14ac:dyDescent="0.25">
      <c r="B40" s="8"/>
      <c r="P40" s="9"/>
      <c r="S40" s="8"/>
      <c r="AC40" s="9"/>
    </row>
    <row r="41" spans="2:31" x14ac:dyDescent="0.25">
      <c r="B41" s="8"/>
      <c r="P41" s="9"/>
      <c r="S41" s="8"/>
      <c r="AC41" s="9"/>
    </row>
    <row r="42" spans="2:31" x14ac:dyDescent="0.25">
      <c r="B42" s="8"/>
      <c r="P42" s="9"/>
      <c r="S42" s="8"/>
      <c r="AC42" s="9"/>
    </row>
    <row r="43" spans="2:31" x14ac:dyDescent="0.25">
      <c r="B43" s="8"/>
      <c r="J43" s="61" t="s">
        <v>88</v>
      </c>
      <c r="N43" s="61" t="s">
        <v>88</v>
      </c>
      <c r="P43" s="9"/>
      <c r="S43" s="8"/>
      <c r="V43" s="14"/>
      <c r="AC43" s="9"/>
    </row>
    <row r="44" spans="2:31" x14ac:dyDescent="0.25">
      <c r="B44" s="8"/>
      <c r="I44" t="s">
        <v>1</v>
      </c>
      <c r="J44" s="62">
        <f>'szacunek rynku_03 2025'!N11/'szacunek rynku_03 2025'!N60</f>
        <v>0.9069183613130879</v>
      </c>
      <c r="K44" s="62"/>
      <c r="M44" t="s">
        <v>33</v>
      </c>
      <c r="N44" s="62">
        <f>'szacunek rynku_03 2025'!N61/'szacunek rynku_03 2025'!$N$60</f>
        <v>0.22281298651634412</v>
      </c>
      <c r="O44" s="62"/>
      <c r="P44" s="9"/>
      <c r="S44" s="8"/>
      <c r="V44" s="64"/>
      <c r="Z44" s="13"/>
      <c r="AC44" s="9"/>
    </row>
    <row r="45" spans="2:31" x14ac:dyDescent="0.25">
      <c r="B45" s="8"/>
      <c r="I45" t="s">
        <v>2</v>
      </c>
      <c r="J45" s="62">
        <f>1-J44</f>
        <v>9.3081638686912105E-2</v>
      </c>
      <c r="K45" s="62"/>
      <c r="M45" t="s">
        <v>4</v>
      </c>
      <c r="N45" s="62">
        <f>'szacunek rynku_03 2025'!N62/'szacunek rynku_03 2025'!$N$60</f>
        <v>0.452235803430176</v>
      </c>
      <c r="O45" s="62"/>
      <c r="P45" s="9"/>
      <c r="S45" s="8"/>
      <c r="V45" s="64"/>
      <c r="Z45" s="13"/>
      <c r="AC45" s="9"/>
    </row>
    <row r="46" spans="2:31" x14ac:dyDescent="0.25">
      <c r="B46" s="8"/>
      <c r="M46" t="s">
        <v>5</v>
      </c>
      <c r="N46" s="62">
        <f>'szacunek rynku_03 2025'!N63/'szacunek rynku_03 2025'!$N$60</f>
        <v>0.22431032650901861</v>
      </c>
      <c r="O46" s="62"/>
      <c r="P46" s="9"/>
      <c r="S46" s="8"/>
      <c r="Z46" s="13"/>
      <c r="AC46" s="9"/>
    </row>
    <row r="47" spans="2:31" x14ac:dyDescent="0.25">
      <c r="B47" s="8"/>
      <c r="M47" t="s">
        <v>6</v>
      </c>
      <c r="N47" s="62">
        <f>'szacunek rynku_03 2025'!N64/'szacunek rynku_03 2025'!$N$60</f>
        <v>0.10064088354446121</v>
      </c>
      <c r="O47" s="62"/>
      <c r="P47" s="9"/>
      <c r="S47" s="8"/>
      <c r="AC47" s="9"/>
    </row>
    <row r="48" spans="2:31" x14ac:dyDescent="0.25">
      <c r="B48" s="8"/>
      <c r="P48" s="9"/>
      <c r="S48" s="8"/>
      <c r="AC48" s="9"/>
    </row>
    <row r="49" spans="2:29" x14ac:dyDescent="0.25">
      <c r="B49" s="8"/>
      <c r="P49" s="9"/>
      <c r="S49" s="8"/>
      <c r="AC49" s="9"/>
    </row>
    <row r="50" spans="2:29" x14ac:dyDescent="0.25">
      <c r="B50" s="8"/>
      <c r="P50" s="9"/>
      <c r="S50" s="8"/>
      <c r="AC50" s="9"/>
    </row>
    <row r="51" spans="2:29" x14ac:dyDescent="0.25">
      <c r="B51" s="8"/>
      <c r="P51" s="9"/>
      <c r="S51" s="8"/>
      <c r="AC51" s="9"/>
    </row>
    <row r="52" spans="2:29" x14ac:dyDescent="0.25">
      <c r="B52" s="8"/>
      <c r="P52" s="9"/>
      <c r="S52" s="8"/>
      <c r="AC52" s="9"/>
    </row>
    <row r="53" spans="2:29" x14ac:dyDescent="0.25">
      <c r="B53" s="8"/>
      <c r="P53" s="9"/>
      <c r="S53" s="8"/>
      <c r="AC53" s="9"/>
    </row>
    <row r="54" spans="2:29" x14ac:dyDescent="0.25">
      <c r="B54" s="8"/>
      <c r="P54" s="9"/>
      <c r="S54" s="8"/>
      <c r="AC54" s="9"/>
    </row>
    <row r="55" spans="2:29" x14ac:dyDescent="0.25">
      <c r="B55" s="8"/>
      <c r="P55" s="9"/>
      <c r="S55" s="8"/>
      <c r="AC55" s="9"/>
    </row>
    <row r="56" spans="2:29" x14ac:dyDescent="0.25">
      <c r="B56" s="8"/>
      <c r="P56" s="9"/>
      <c r="S56" s="8"/>
      <c r="AC56" s="9"/>
    </row>
    <row r="57" spans="2:29" x14ac:dyDescent="0.25">
      <c r="B57" s="8"/>
      <c r="P57" s="9"/>
      <c r="S57" s="8"/>
      <c r="AC57" s="9"/>
    </row>
    <row r="58" spans="2:29" ht="15.75" thickBot="1" x14ac:dyDescent="0.3">
      <c r="B58" s="8"/>
      <c r="P58" s="9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2"/>
    </row>
    <row r="59" spans="2:29" ht="15.75" thickTop="1" x14ac:dyDescent="0.25">
      <c r="B59" s="8"/>
      <c r="P59" s="9"/>
    </row>
    <row r="60" spans="2:29" x14ac:dyDescent="0.25">
      <c r="B60" s="8"/>
      <c r="P60" s="9"/>
    </row>
    <row r="61" spans="2:29" x14ac:dyDescent="0.25">
      <c r="B61" s="8"/>
      <c r="P61" s="9"/>
    </row>
    <row r="62" spans="2:29" x14ac:dyDescent="0.25">
      <c r="B62" s="8"/>
      <c r="P62" s="9"/>
    </row>
    <row r="63" spans="2:29" x14ac:dyDescent="0.25">
      <c r="B63" s="8"/>
      <c r="P63" s="9"/>
    </row>
    <row r="64" spans="2:29" x14ac:dyDescent="0.25">
      <c r="B64" s="8"/>
      <c r="P64" s="9"/>
    </row>
    <row r="65" spans="2:31" x14ac:dyDescent="0.25">
      <c r="B65" s="8"/>
      <c r="P65" s="9"/>
    </row>
    <row r="66" spans="2:31" ht="16.5" customHeight="1" thickBot="1" x14ac:dyDescent="0.3"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2"/>
    </row>
    <row r="67" spans="2:31" ht="15.75" thickTop="1" x14ac:dyDescent="0.25"/>
    <row r="69" spans="2:31" ht="15.75" thickBot="1" x14ac:dyDescent="0.3"/>
    <row r="70" spans="2:31" ht="15.75" thickTop="1" x14ac:dyDescent="0.25"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"/>
      <c r="S70" s="1"/>
      <c r="T70" s="2"/>
      <c r="U70" s="2"/>
      <c r="V70" s="2"/>
      <c r="W70" s="2"/>
      <c r="X70" s="2"/>
      <c r="Y70" s="2"/>
      <c r="Z70" s="2"/>
      <c r="AA70" s="2"/>
      <c r="AB70" s="2"/>
      <c r="AC70" s="3"/>
    </row>
    <row r="71" spans="2:31" s="6" customFormat="1" ht="61.5" customHeight="1" x14ac:dyDescent="0.25">
      <c r="B71" s="4"/>
      <c r="C71" s="163" t="s">
        <v>30</v>
      </c>
      <c r="D71" s="163"/>
      <c r="E71" s="163"/>
      <c r="F71" s="163"/>
      <c r="G71" s="163"/>
      <c r="H71" s="163"/>
      <c r="I71" s="163"/>
      <c r="J71" s="163"/>
      <c r="K71" s="163"/>
      <c r="L71" s="163"/>
      <c r="M71" s="163"/>
      <c r="N71" s="163"/>
      <c r="O71" s="163"/>
      <c r="P71" s="5"/>
      <c r="S71" s="4"/>
      <c r="T71" s="163" t="s">
        <v>90</v>
      </c>
      <c r="U71" s="163"/>
      <c r="V71" s="163"/>
      <c r="W71" s="163"/>
      <c r="X71" s="163"/>
      <c r="Y71" s="163"/>
      <c r="Z71" s="163"/>
      <c r="AA71" s="163"/>
      <c r="AB71" s="163"/>
      <c r="AC71" s="5"/>
      <c r="AE71" s="7"/>
    </row>
    <row r="72" spans="2:31" x14ac:dyDescent="0.25">
      <c r="B72" s="8"/>
      <c r="P72" s="9"/>
      <c r="S72" s="8"/>
      <c r="AC72" s="9"/>
    </row>
    <row r="73" spans="2:31" x14ac:dyDescent="0.25">
      <c r="B73" s="8"/>
      <c r="P73" s="9"/>
      <c r="S73" s="8"/>
      <c r="AC73" s="9"/>
    </row>
    <row r="74" spans="2:31" x14ac:dyDescent="0.25">
      <c r="B74" s="8"/>
      <c r="P74" s="9"/>
      <c r="S74" s="8"/>
      <c r="AC74" s="9"/>
    </row>
    <row r="75" spans="2:31" x14ac:dyDescent="0.25">
      <c r="B75" s="8"/>
      <c r="P75" s="9"/>
      <c r="S75" s="8"/>
      <c r="AC75" s="9"/>
    </row>
    <row r="76" spans="2:31" x14ac:dyDescent="0.25">
      <c r="B76" s="8"/>
      <c r="J76" s="61" t="s">
        <v>88</v>
      </c>
      <c r="N76" s="61" t="s">
        <v>88</v>
      </c>
      <c r="P76" s="9"/>
      <c r="S76" s="8"/>
      <c r="V76" s="14"/>
      <c r="AC76" s="9"/>
    </row>
    <row r="77" spans="2:31" x14ac:dyDescent="0.25">
      <c r="B77" s="8"/>
      <c r="I77" t="s">
        <v>1</v>
      </c>
      <c r="J77" s="13">
        <f>'szacunek rynku_03 2025'!N17/'szacunek rynku_03 2025'!N66</f>
        <v>0.62314309379793098</v>
      </c>
      <c r="M77" t="s">
        <v>24</v>
      </c>
      <c r="N77" s="13">
        <f>'szacunek rynku_03 2025'!F93/'szacunek rynku_03 2025'!F92</f>
        <v>0.19042457838286081</v>
      </c>
      <c r="P77" s="9"/>
      <c r="S77" s="8"/>
      <c r="V77" s="64"/>
      <c r="Z77" s="13"/>
      <c r="AC77" s="9"/>
    </row>
    <row r="78" spans="2:31" x14ac:dyDescent="0.25">
      <c r="B78" s="8"/>
      <c r="I78" t="s">
        <v>2</v>
      </c>
      <c r="J78" s="13">
        <f>1-J77</f>
        <v>0.37685690620206902</v>
      </c>
      <c r="M78" t="s">
        <v>23</v>
      </c>
      <c r="N78" s="13">
        <f>'szacunek rynku_03 2025'!F94/'szacunek rynku_03 2025'!F92</f>
        <v>0.2872786275156029</v>
      </c>
      <c r="P78" s="9"/>
      <c r="S78" s="8"/>
      <c r="V78" s="64"/>
      <c r="Z78" s="13"/>
      <c r="AC78" s="9"/>
    </row>
    <row r="79" spans="2:31" x14ac:dyDescent="0.25">
      <c r="B79" s="8"/>
      <c r="M79" t="s">
        <v>32</v>
      </c>
      <c r="N79" s="13">
        <f>1-N78-N77</f>
        <v>0.52229679410153618</v>
      </c>
      <c r="P79" s="9"/>
      <c r="S79" s="8"/>
      <c r="Z79" s="13"/>
      <c r="AC79" s="9"/>
    </row>
    <row r="80" spans="2:31" x14ac:dyDescent="0.25">
      <c r="B80" s="8"/>
      <c r="N80" s="13"/>
      <c r="P80" s="9"/>
      <c r="S80" s="8"/>
      <c r="AC80" s="9"/>
    </row>
    <row r="81" spans="2:29" x14ac:dyDescent="0.25">
      <c r="B81" s="8"/>
      <c r="P81" s="9"/>
      <c r="S81" s="8"/>
      <c r="AC81" s="9"/>
    </row>
    <row r="82" spans="2:29" x14ac:dyDescent="0.25">
      <c r="B82" s="8"/>
      <c r="P82" s="9"/>
      <c r="S82" s="8"/>
      <c r="AC82" s="9"/>
    </row>
    <row r="83" spans="2:29" x14ac:dyDescent="0.25">
      <c r="B83" s="8"/>
      <c r="P83" s="9"/>
      <c r="S83" s="8"/>
      <c r="AC83" s="9"/>
    </row>
    <row r="84" spans="2:29" x14ac:dyDescent="0.25">
      <c r="B84" s="8"/>
      <c r="P84" s="9"/>
      <c r="S84" s="8"/>
      <c r="AC84" s="9"/>
    </row>
    <row r="85" spans="2:29" x14ac:dyDescent="0.25">
      <c r="B85" s="8"/>
      <c r="P85" s="9"/>
      <c r="S85" s="8"/>
      <c r="AC85" s="9"/>
    </row>
    <row r="86" spans="2:29" x14ac:dyDescent="0.25">
      <c r="B86" s="8"/>
      <c r="P86" s="9"/>
      <c r="S86" s="8"/>
      <c r="AC86" s="9"/>
    </row>
    <row r="87" spans="2:29" x14ac:dyDescent="0.25">
      <c r="B87" s="8"/>
      <c r="P87" s="9"/>
      <c r="S87" s="8"/>
      <c r="AC87" s="9"/>
    </row>
    <row r="88" spans="2:29" x14ac:dyDescent="0.25">
      <c r="B88" s="8"/>
      <c r="P88" s="9"/>
      <c r="S88" s="8"/>
      <c r="AC88" s="9"/>
    </row>
    <row r="89" spans="2:29" ht="15.75" thickBot="1" x14ac:dyDescent="0.3">
      <c r="B89" s="8"/>
      <c r="P89" s="9"/>
      <c r="S89" s="10"/>
      <c r="T89" s="11"/>
      <c r="U89" s="11"/>
      <c r="V89" s="11"/>
      <c r="W89" s="11"/>
      <c r="X89" s="11"/>
      <c r="Y89" s="11"/>
      <c r="Z89" s="11"/>
      <c r="AA89" s="11"/>
      <c r="AB89" s="11"/>
      <c r="AC89" s="12"/>
    </row>
    <row r="90" spans="2:29" ht="15.75" thickTop="1" x14ac:dyDescent="0.25">
      <c r="B90" s="8"/>
      <c r="P90" s="9"/>
    </row>
    <row r="91" spans="2:29" x14ac:dyDescent="0.25">
      <c r="B91" s="8"/>
      <c r="P91" s="9"/>
    </row>
    <row r="92" spans="2:29" x14ac:dyDescent="0.25">
      <c r="B92" s="8"/>
      <c r="P92" s="9"/>
    </row>
    <row r="93" spans="2:29" x14ac:dyDescent="0.25">
      <c r="B93" s="8"/>
      <c r="P93" s="9"/>
    </row>
    <row r="94" spans="2:29" x14ac:dyDescent="0.25">
      <c r="B94" s="8"/>
      <c r="P94" s="9"/>
    </row>
    <row r="95" spans="2:29" x14ac:dyDescent="0.25">
      <c r="B95" s="8"/>
      <c r="P95" s="9"/>
    </row>
    <row r="96" spans="2:29" x14ac:dyDescent="0.25">
      <c r="B96" s="8"/>
      <c r="P96" s="9"/>
    </row>
    <row r="97" spans="2:31" x14ac:dyDescent="0.25">
      <c r="B97" s="8"/>
      <c r="P97" s="9"/>
    </row>
    <row r="98" spans="2:31" x14ac:dyDescent="0.25">
      <c r="B98" s="8"/>
      <c r="P98" s="9"/>
    </row>
    <row r="99" spans="2:31" ht="16.5" customHeight="1" x14ac:dyDescent="0.25">
      <c r="B99" s="8"/>
      <c r="P99" s="9"/>
    </row>
    <row r="100" spans="2:31" ht="15.75" thickBot="1" x14ac:dyDescent="0.3">
      <c r="B100" s="10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2"/>
    </row>
    <row r="101" spans="2:31" ht="15.75" thickTop="1" x14ac:dyDescent="0.25"/>
    <row r="102" spans="2:31" ht="15.75" thickBot="1" x14ac:dyDescent="0.3"/>
    <row r="103" spans="2:31" ht="15.75" thickTop="1" x14ac:dyDescent="0.25"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3"/>
    </row>
    <row r="104" spans="2:31" s="6" customFormat="1" ht="61.5" customHeight="1" x14ac:dyDescent="0.25">
      <c r="B104" s="4"/>
      <c r="C104" s="163" t="s">
        <v>31</v>
      </c>
      <c r="D104" s="163"/>
      <c r="E104" s="163"/>
      <c r="F104" s="163"/>
      <c r="G104" s="163"/>
      <c r="H104" s="163"/>
      <c r="I104" s="163"/>
      <c r="J104" s="163"/>
      <c r="K104" s="163"/>
      <c r="L104" s="163"/>
      <c r="M104" s="163"/>
      <c r="N104" s="163"/>
      <c r="O104" s="163"/>
      <c r="P104" s="5"/>
      <c r="T104" s="65"/>
      <c r="U104" s="65"/>
      <c r="V104" s="65"/>
      <c r="W104" s="65"/>
      <c r="X104" s="65"/>
      <c r="Y104" s="65"/>
      <c r="Z104" s="65"/>
      <c r="AA104" s="65"/>
      <c r="AB104" s="65"/>
      <c r="AE104" s="7"/>
    </row>
    <row r="105" spans="2:31" x14ac:dyDescent="0.25">
      <c r="B105" s="8"/>
      <c r="P105" s="9"/>
    </row>
    <row r="106" spans="2:31" x14ac:dyDescent="0.25">
      <c r="B106" s="8"/>
      <c r="P106" s="9"/>
    </row>
    <row r="107" spans="2:31" x14ac:dyDescent="0.25">
      <c r="B107" s="8"/>
      <c r="P107" s="9"/>
    </row>
    <row r="108" spans="2:31" x14ac:dyDescent="0.25">
      <c r="B108" s="8"/>
      <c r="P108" s="9"/>
    </row>
    <row r="109" spans="2:31" x14ac:dyDescent="0.25">
      <c r="B109" s="8"/>
      <c r="J109" s="61" t="s">
        <v>38</v>
      </c>
      <c r="N109" s="61" t="s">
        <v>38</v>
      </c>
      <c r="P109" s="9"/>
      <c r="V109" s="14"/>
    </row>
    <row r="110" spans="2:31" x14ac:dyDescent="0.25">
      <c r="B110" s="8"/>
      <c r="I110" t="s">
        <v>1</v>
      </c>
      <c r="J110" s="62">
        <f>'szacunek rynku_03 2025'!N22/'szacunek rynku_03 2025'!N71</f>
        <v>0.86543780372609025</v>
      </c>
      <c r="M110" t="s">
        <v>25</v>
      </c>
      <c r="N110" s="62">
        <f>('szacunek rynku_03 2025'!N58+'szacunek rynku_03 2025'!N59)/'szacunek rynku_03 2025'!N71</f>
        <v>0.57265168023704749</v>
      </c>
      <c r="P110" s="9"/>
      <c r="V110" s="64"/>
      <c r="Z110" s="13"/>
    </row>
    <row r="111" spans="2:31" x14ac:dyDescent="0.25">
      <c r="B111" s="8"/>
      <c r="I111" t="s">
        <v>2</v>
      </c>
      <c r="J111" s="62">
        <f>1-J110</f>
        <v>0.13456219627390975</v>
      </c>
      <c r="M111" t="s">
        <v>26</v>
      </c>
      <c r="N111" s="62">
        <f>'szacunek rynku_03 2025'!N60/'szacunek rynku_03 2025'!N71</f>
        <v>0.17171218926473136</v>
      </c>
      <c r="P111" s="9"/>
      <c r="V111" s="64"/>
      <c r="Z111" s="13"/>
    </row>
    <row r="112" spans="2:31" x14ac:dyDescent="0.25">
      <c r="B112" s="8"/>
      <c r="M112" t="s">
        <v>27</v>
      </c>
      <c r="N112" s="62">
        <f>'szacunek rynku_03 2025'!N66/'szacunek rynku_03 2025'!N71</f>
        <v>0.22275131737048176</v>
      </c>
      <c r="P112" s="9"/>
      <c r="Z112" s="13"/>
    </row>
    <row r="113" spans="2:16" x14ac:dyDescent="0.25">
      <c r="B113" s="8"/>
      <c r="M113" t="s">
        <v>7</v>
      </c>
      <c r="N113" s="62">
        <f>'szacunek rynku_03 2025'!N67/'szacunek rynku_03 2025'!N71</f>
        <v>1.0121032730240172E-2</v>
      </c>
      <c r="P113" s="9"/>
    </row>
    <row r="114" spans="2:16" x14ac:dyDescent="0.25">
      <c r="B114" s="8"/>
      <c r="M114" t="s">
        <v>22</v>
      </c>
      <c r="N114" s="62">
        <f>('szacunek rynku_03 2025'!N65+'szacunek rynku_03 2025'!N68+'szacunek rynku_03 2025'!N69)/'szacunek rynku_03 2025'!N71</f>
        <v>2.2763780397498899E-2</v>
      </c>
      <c r="P114" s="9"/>
    </row>
    <row r="115" spans="2:16" x14ac:dyDescent="0.25">
      <c r="B115" s="8"/>
      <c r="P115" s="9"/>
    </row>
    <row r="116" spans="2:16" x14ac:dyDescent="0.25">
      <c r="B116" s="8"/>
      <c r="P116" s="9"/>
    </row>
    <row r="117" spans="2:16" x14ac:dyDescent="0.25">
      <c r="B117" s="8"/>
      <c r="P117" s="9"/>
    </row>
    <row r="118" spans="2:16" x14ac:dyDescent="0.25">
      <c r="B118" s="8"/>
      <c r="P118" s="9"/>
    </row>
    <row r="119" spans="2:16" x14ac:dyDescent="0.25">
      <c r="B119" s="8"/>
      <c r="P119" s="9"/>
    </row>
    <row r="120" spans="2:16" x14ac:dyDescent="0.25">
      <c r="B120" s="8"/>
      <c r="P120" s="9"/>
    </row>
    <row r="121" spans="2:16" x14ac:dyDescent="0.25">
      <c r="B121" s="8"/>
      <c r="P121" s="9"/>
    </row>
    <row r="122" spans="2:16" x14ac:dyDescent="0.25">
      <c r="B122" s="8"/>
      <c r="P122" s="9"/>
    </row>
    <row r="123" spans="2:16" x14ac:dyDescent="0.25">
      <c r="B123" s="8"/>
      <c r="P123" s="9"/>
    </row>
    <row r="124" spans="2:16" x14ac:dyDescent="0.25">
      <c r="B124" s="8"/>
      <c r="P124" s="9"/>
    </row>
    <row r="125" spans="2:16" x14ac:dyDescent="0.25">
      <c r="B125" s="8"/>
      <c r="P125" s="9"/>
    </row>
    <row r="126" spans="2:16" x14ac:dyDescent="0.25">
      <c r="B126" s="8"/>
      <c r="P126" s="9"/>
    </row>
    <row r="127" spans="2:16" x14ac:dyDescent="0.25">
      <c r="B127" s="8"/>
      <c r="P127" s="9"/>
    </row>
    <row r="128" spans="2:16" x14ac:dyDescent="0.25">
      <c r="B128" s="8"/>
      <c r="P128" s="9"/>
    </row>
    <row r="129" spans="2:16" x14ac:dyDescent="0.25">
      <c r="B129" s="8"/>
      <c r="P129" s="9"/>
    </row>
    <row r="130" spans="2:16" x14ac:dyDescent="0.25">
      <c r="B130" s="8"/>
      <c r="P130" s="9"/>
    </row>
    <row r="131" spans="2:16" x14ac:dyDescent="0.25">
      <c r="B131" s="8"/>
      <c r="P131" s="9"/>
    </row>
    <row r="132" spans="2:16" ht="16.5" customHeight="1" thickBot="1" x14ac:dyDescent="0.3">
      <c r="B132" s="10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2"/>
    </row>
    <row r="133" spans="2:16" ht="15.75" thickTop="1" x14ac:dyDescent="0.25"/>
  </sheetData>
  <mergeCells count="7">
    <mergeCell ref="C104:O104"/>
    <mergeCell ref="C5:O5"/>
    <mergeCell ref="T5:AB5"/>
    <mergeCell ref="C38:O38"/>
    <mergeCell ref="T38:AB38"/>
    <mergeCell ref="C71:O71"/>
    <mergeCell ref="T71:AB71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24"/>
  <sheetViews>
    <sheetView showGridLines="0" tabSelected="1" topLeftCell="A73" zoomScale="90" zoomScaleNormal="90" workbookViewId="0">
      <selection activeCell="B5" sqref="B5"/>
    </sheetView>
  </sheetViews>
  <sheetFormatPr defaultColWidth="9.140625" defaultRowHeight="12.75" x14ac:dyDescent="0.2"/>
  <cols>
    <col min="1" max="1" width="6.28515625" style="20" customWidth="1"/>
    <col min="2" max="2" width="44.7109375" style="22" customWidth="1"/>
    <col min="3" max="3" width="10.5703125" style="22" bestFit="1" customWidth="1"/>
    <col min="4" max="4" width="10.5703125" style="22" customWidth="1"/>
    <col min="5" max="5" width="2.5703125" style="22" customWidth="1"/>
    <col min="6" max="6" width="10" style="20" bestFit="1" customWidth="1"/>
    <col min="7" max="7" width="2.5703125" style="22" customWidth="1"/>
    <col min="8" max="8" width="10.5703125" style="22" bestFit="1" customWidth="1"/>
    <col min="9" max="9" width="10.5703125" style="22" customWidth="1"/>
    <col min="10" max="10" width="2.5703125" style="22" customWidth="1"/>
    <col min="11" max="11" width="10" style="20" bestFit="1" customWidth="1"/>
    <col min="12" max="12" width="2.5703125" style="22" customWidth="1"/>
    <col min="13" max="13" width="10.5703125" style="22" bestFit="1" customWidth="1"/>
    <col min="14" max="14" width="10.5703125" style="22" customWidth="1"/>
    <col min="15" max="15" width="2.5703125" style="22" customWidth="1"/>
    <col min="16" max="16" width="10" style="20" bestFit="1" customWidth="1"/>
    <col min="17" max="17" width="9" style="22" customWidth="1"/>
    <col min="18" max="18" width="10.42578125" style="22" customWidth="1"/>
    <col min="19" max="21" width="9.140625" style="22"/>
    <col min="22" max="22" width="8.42578125" style="22" customWidth="1"/>
    <col min="23" max="23" width="2.42578125" style="22" customWidth="1"/>
    <col min="24" max="16384" width="9.140625" style="22"/>
  </cols>
  <sheetData>
    <row r="2" spans="1:16" ht="21" x14ac:dyDescent="0.35">
      <c r="B2" s="168" t="s">
        <v>92</v>
      </c>
    </row>
    <row r="4" spans="1:16" ht="18" x14ac:dyDescent="0.2">
      <c r="B4" s="21" t="s">
        <v>20</v>
      </c>
    </row>
    <row r="5" spans="1:16" ht="45" customHeight="1" x14ac:dyDescent="0.2">
      <c r="A5" s="23"/>
      <c r="C5" s="167" t="s">
        <v>39</v>
      </c>
      <c r="D5" s="167"/>
      <c r="E5" s="167"/>
      <c r="F5" s="167"/>
      <c r="H5" s="167" t="s">
        <v>41</v>
      </c>
      <c r="I5" s="167"/>
      <c r="J5" s="167"/>
      <c r="K5" s="167"/>
      <c r="M5" s="167" t="s">
        <v>40</v>
      </c>
      <c r="N5" s="167"/>
      <c r="O5" s="167"/>
      <c r="P5" s="167"/>
    </row>
    <row r="7" spans="1:16" ht="22.5" x14ac:dyDescent="0.2">
      <c r="A7" s="24"/>
      <c r="C7" s="25" t="s">
        <v>35</v>
      </c>
      <c r="D7" s="25" t="s">
        <v>36</v>
      </c>
      <c r="F7" s="25" t="s">
        <v>37</v>
      </c>
      <c r="H7" s="25" t="s">
        <v>42</v>
      </c>
      <c r="I7" s="25" t="s">
        <v>43</v>
      </c>
      <c r="K7" s="25" t="s">
        <v>44</v>
      </c>
      <c r="M7" s="25" t="s">
        <v>49</v>
      </c>
      <c r="N7" s="25" t="s">
        <v>50</v>
      </c>
      <c r="P7" s="25" t="s">
        <v>51</v>
      </c>
    </row>
    <row r="8" spans="1:16" s="52" customFormat="1" x14ac:dyDescent="0.2">
      <c r="A8" s="40"/>
      <c r="B8" s="27" t="s">
        <v>14</v>
      </c>
      <c r="C8" s="66">
        <v>11551.744926932259</v>
      </c>
      <c r="D8" s="66">
        <v>11376.150949691431</v>
      </c>
      <c r="F8" s="53">
        <f t="shared" ref="F8:F20" si="0">IF(C8,D8/C8-1,"")</f>
        <v>-1.5200645300905147E-2</v>
      </c>
      <c r="H8" s="66">
        <f t="shared" ref="H8:H20" si="1">M8-C8</f>
        <v>6734.0153102594104</v>
      </c>
      <c r="I8" s="66">
        <f t="shared" ref="I8:I20" si="2">N8-D8</f>
        <v>7077.6199475487028</v>
      </c>
      <c r="K8" s="53">
        <f t="shared" ref="K8:K20" si="3">IF(H8,I8/H8-1,"")</f>
        <v>5.1025223653086149E-2</v>
      </c>
      <c r="M8" s="66">
        <v>18285.760237191669</v>
      </c>
      <c r="N8" s="66">
        <v>18453.770897240134</v>
      </c>
      <c r="P8" s="53">
        <f t="shared" ref="P8:P20" si="4">IF(M8,N8/M8-1,"")</f>
        <v>9.188059882068611E-3</v>
      </c>
    </row>
    <row r="9" spans="1:16" s="20" customFormat="1" ht="11.25" x14ac:dyDescent="0.2">
      <c r="A9" s="26"/>
      <c r="B9" s="54" t="s">
        <v>0</v>
      </c>
      <c r="C9" s="67">
        <v>7503.601626423585</v>
      </c>
      <c r="D9" s="67">
        <v>7619.0206914980226</v>
      </c>
      <c r="F9" s="28">
        <f t="shared" si="0"/>
        <v>1.5381822066351969E-2</v>
      </c>
      <c r="H9" s="67">
        <f t="shared" si="1"/>
        <v>4333.391027041499</v>
      </c>
      <c r="I9" s="67">
        <f t="shared" si="2"/>
        <v>4712.3279067085914</v>
      </c>
      <c r="K9" s="28">
        <f t="shared" si="3"/>
        <v>8.7445807983269175E-2</v>
      </c>
      <c r="M9" s="67">
        <v>11836.992653465084</v>
      </c>
      <c r="N9" s="67">
        <v>12331.348598206614</v>
      </c>
      <c r="P9" s="28">
        <f t="shared" si="4"/>
        <v>4.1763643791467242E-2</v>
      </c>
    </row>
    <row r="10" spans="1:16" s="20" customFormat="1" ht="11.25" x14ac:dyDescent="0.2">
      <c r="A10" s="26"/>
      <c r="B10" s="54" t="s">
        <v>8</v>
      </c>
      <c r="C10" s="67">
        <v>1219.2918563220401</v>
      </c>
      <c r="D10" s="67">
        <v>1177.3381377435744</v>
      </c>
      <c r="F10" s="28">
        <f t="shared" si="0"/>
        <v>-3.4408266044700597E-2</v>
      </c>
      <c r="H10" s="67">
        <f t="shared" si="1"/>
        <v>693.56835636019082</v>
      </c>
      <c r="I10" s="67">
        <f t="shared" si="2"/>
        <v>675.86981353816623</v>
      </c>
      <c r="K10" s="28">
        <f t="shared" si="3"/>
        <v>-2.5518094445521666E-2</v>
      </c>
      <c r="M10" s="67">
        <v>1912.8602126822309</v>
      </c>
      <c r="N10" s="67">
        <v>1853.2079512817406</v>
      </c>
      <c r="P10" s="28">
        <f t="shared" si="4"/>
        <v>-3.1184851357666798E-2</v>
      </c>
    </row>
    <row r="11" spans="1:16" x14ac:dyDescent="0.2">
      <c r="A11" s="56"/>
      <c r="B11" s="29" t="s">
        <v>9</v>
      </c>
      <c r="C11" s="68">
        <v>2713.4239938943797</v>
      </c>
      <c r="D11" s="68">
        <v>2474.8269148293061</v>
      </c>
      <c r="F11" s="57">
        <f t="shared" si="0"/>
        <v>-8.7932103350583435E-2</v>
      </c>
      <c r="H11" s="68">
        <f t="shared" si="1"/>
        <v>1601.9714117895278</v>
      </c>
      <c r="I11" s="68">
        <f t="shared" si="2"/>
        <v>1606.7613738308996</v>
      </c>
      <c r="K11" s="57">
        <f t="shared" si="3"/>
        <v>2.9900421481436901E-3</v>
      </c>
      <c r="M11" s="68">
        <v>4315.3954056839075</v>
      </c>
      <c r="N11" s="68">
        <v>4081.5882886602058</v>
      </c>
      <c r="P11" s="57">
        <f t="shared" si="4"/>
        <v>-5.4179766868117984E-2</v>
      </c>
    </row>
    <row r="12" spans="1:16" s="20" customFormat="1" ht="11.25" x14ac:dyDescent="0.2">
      <c r="A12" s="26"/>
      <c r="B12" s="55" t="s">
        <v>10</v>
      </c>
      <c r="C12" s="67">
        <v>598.10035353938838</v>
      </c>
      <c r="D12" s="67">
        <v>560.39390895998349</v>
      </c>
      <c r="F12" s="28">
        <f t="shared" si="0"/>
        <v>-6.304367545725198E-2</v>
      </c>
      <c r="H12" s="67">
        <f t="shared" si="1"/>
        <v>359.13036358067995</v>
      </c>
      <c r="I12" s="67">
        <f t="shared" si="2"/>
        <v>394.10596974899954</v>
      </c>
      <c r="K12" s="28">
        <f t="shared" si="3"/>
        <v>9.73897217144164E-2</v>
      </c>
      <c r="M12" s="67">
        <v>957.23071712006833</v>
      </c>
      <c r="N12" s="67">
        <v>954.49987870898303</v>
      </c>
      <c r="P12" s="28">
        <f t="shared" si="4"/>
        <v>-2.8528528830554789E-3</v>
      </c>
    </row>
    <row r="13" spans="1:16" s="20" customFormat="1" ht="11.25" x14ac:dyDescent="0.2">
      <c r="A13" s="26"/>
      <c r="B13" s="55" t="s">
        <v>4</v>
      </c>
      <c r="C13" s="67">
        <v>1403.5967901667707</v>
      </c>
      <c r="D13" s="67">
        <v>1124.0409550693844</v>
      </c>
      <c r="F13" s="28">
        <f t="shared" si="0"/>
        <v>-0.19917104189456747</v>
      </c>
      <c r="H13" s="67">
        <f t="shared" si="1"/>
        <v>829.60688771441869</v>
      </c>
      <c r="I13" s="67">
        <f t="shared" si="2"/>
        <v>681.14061142591049</v>
      </c>
      <c r="K13" s="28">
        <f t="shared" si="3"/>
        <v>-0.17895979226683534</v>
      </c>
      <c r="M13" s="67">
        <v>2233.2036778811894</v>
      </c>
      <c r="N13" s="67">
        <v>1805.1815664952949</v>
      </c>
      <c r="P13" s="28">
        <f t="shared" si="4"/>
        <v>-0.1916628185889393</v>
      </c>
    </row>
    <row r="14" spans="1:16" s="20" customFormat="1" ht="11.25" x14ac:dyDescent="0.2">
      <c r="A14" s="26"/>
      <c r="B14" s="55" t="s">
        <v>11</v>
      </c>
      <c r="C14" s="67">
        <v>523.68251146472289</v>
      </c>
      <c r="D14" s="67">
        <v>514.36683678967233</v>
      </c>
      <c r="F14" s="28">
        <f t="shared" si="0"/>
        <v>-1.7788783224772842E-2</v>
      </c>
      <c r="H14" s="67">
        <f t="shared" si="1"/>
        <v>302.53597048175595</v>
      </c>
      <c r="I14" s="67">
        <f t="shared" si="2"/>
        <v>388.82039569788913</v>
      </c>
      <c r="K14" s="28">
        <f t="shared" si="3"/>
        <v>0.28520385552413652</v>
      </c>
      <c r="M14" s="67">
        <v>826.21848194647885</v>
      </c>
      <c r="N14" s="67">
        <v>903.18723248756146</v>
      </c>
      <c r="P14" s="28">
        <f t="shared" si="4"/>
        <v>9.3157865894929914E-2</v>
      </c>
    </row>
    <row r="15" spans="1:16" s="20" customFormat="1" ht="11.25" x14ac:dyDescent="0.2">
      <c r="A15" s="26"/>
      <c r="B15" s="55" t="s">
        <v>6</v>
      </c>
      <c r="C15" s="67">
        <v>188.04433872349756</v>
      </c>
      <c r="D15" s="67">
        <v>276.02521401026598</v>
      </c>
      <c r="F15" s="28">
        <f t="shared" si="0"/>
        <v>0.46787303400894431</v>
      </c>
      <c r="H15" s="67">
        <f t="shared" si="1"/>
        <v>110.69819001267354</v>
      </c>
      <c r="I15" s="67">
        <f t="shared" si="2"/>
        <v>142.69439695810064</v>
      </c>
      <c r="K15" s="28">
        <f t="shared" si="3"/>
        <v>0.28904001900811527</v>
      </c>
      <c r="M15" s="67">
        <v>298.7425287361711</v>
      </c>
      <c r="N15" s="67">
        <v>418.71961096836662</v>
      </c>
      <c r="P15" s="28">
        <f t="shared" si="4"/>
        <v>0.40160697152748237</v>
      </c>
    </row>
    <row r="16" spans="1:16" s="20" customFormat="1" ht="11.25" x14ac:dyDescent="0.2">
      <c r="A16" s="26"/>
      <c r="B16" s="54" t="s">
        <v>12</v>
      </c>
      <c r="C16" s="67">
        <v>115.42745029225441</v>
      </c>
      <c r="D16" s="67">
        <v>104.96520562053078</v>
      </c>
      <c r="F16" s="28">
        <f t="shared" si="0"/>
        <v>-9.0639138655787099E-2</v>
      </c>
      <c r="H16" s="67">
        <f t="shared" si="1"/>
        <v>105.08451506819267</v>
      </c>
      <c r="I16" s="67">
        <f t="shared" si="2"/>
        <v>82.660853471041207</v>
      </c>
      <c r="K16" s="28">
        <f t="shared" si="3"/>
        <v>-0.21338692558651517</v>
      </c>
      <c r="M16" s="67">
        <v>220.51196536044708</v>
      </c>
      <c r="N16" s="67">
        <v>187.62605909157199</v>
      </c>
      <c r="P16" s="28">
        <f t="shared" si="4"/>
        <v>-0.14913433933219933</v>
      </c>
    </row>
    <row r="17" spans="1:16" s="52" customFormat="1" x14ac:dyDescent="0.2">
      <c r="A17" s="58"/>
      <c r="B17" s="27" t="s">
        <v>27</v>
      </c>
      <c r="C17" s="66">
        <v>2541.4238511900185</v>
      </c>
      <c r="D17" s="66">
        <v>2334.2723913578202</v>
      </c>
      <c r="F17" s="19">
        <f t="shared" si="0"/>
        <v>-8.1510000677454841E-2</v>
      </c>
      <c r="H17" s="66">
        <f t="shared" si="1"/>
        <v>1539.5900782659296</v>
      </c>
      <c r="I17" s="66">
        <f t="shared" si="2"/>
        <v>1303.7715684283985</v>
      </c>
      <c r="K17" s="19">
        <f t="shared" si="3"/>
        <v>-0.15316967364659695</v>
      </c>
      <c r="M17" s="66">
        <v>4081.0139294559481</v>
      </c>
      <c r="N17" s="66">
        <v>3638.0439597862187</v>
      </c>
      <c r="P17" s="19">
        <f t="shared" si="4"/>
        <v>-0.1085440964737856</v>
      </c>
    </row>
    <row r="18" spans="1:16" s="52" customFormat="1" x14ac:dyDescent="0.2">
      <c r="A18" s="58"/>
      <c r="B18" s="27" t="s">
        <v>7</v>
      </c>
      <c r="C18" s="66">
        <v>122.77200209523639</v>
      </c>
      <c r="D18" s="66">
        <v>160.18388141033444</v>
      </c>
      <c r="F18" s="19">
        <f t="shared" si="0"/>
        <v>0.30472647408712117</v>
      </c>
      <c r="H18" s="66">
        <f t="shared" si="1"/>
        <v>50.681178338704257</v>
      </c>
      <c r="I18" s="66">
        <f t="shared" si="2"/>
        <v>65.398053327646608</v>
      </c>
      <c r="K18" s="19">
        <f t="shared" si="3"/>
        <v>0.29038146845341495</v>
      </c>
      <c r="M18" s="66">
        <v>173.45318043394064</v>
      </c>
      <c r="N18" s="66">
        <v>225.58193473798104</v>
      </c>
      <c r="P18" s="19">
        <f t="shared" si="4"/>
        <v>0.3005350156948754</v>
      </c>
    </row>
    <row r="19" spans="1:16" s="52" customFormat="1" x14ac:dyDescent="0.2">
      <c r="A19" s="58"/>
      <c r="B19" s="27" t="s">
        <v>15</v>
      </c>
      <c r="C19" s="66">
        <v>241.59622912538035</v>
      </c>
      <c r="D19" s="66">
        <v>204.02396022171786</v>
      </c>
      <c r="F19" s="19">
        <f t="shared" si="0"/>
        <v>-0.15551678533924362</v>
      </c>
      <c r="H19" s="66">
        <f t="shared" si="1"/>
        <v>41.935514783812181</v>
      </c>
      <c r="I19" s="66">
        <f t="shared" si="2"/>
        <v>59.847416695514369</v>
      </c>
      <c r="K19" s="19">
        <f t="shared" si="3"/>
        <v>0.42712965380399925</v>
      </c>
      <c r="M19" s="66">
        <v>283.53174390919253</v>
      </c>
      <c r="N19" s="66">
        <v>263.87137691723223</v>
      </c>
      <c r="P19" s="19">
        <f t="shared" si="4"/>
        <v>-6.9340972974994197E-2</v>
      </c>
    </row>
    <row r="20" spans="1:16" s="52" customFormat="1" x14ac:dyDescent="0.2">
      <c r="A20" s="58"/>
      <c r="B20" s="27" t="s">
        <v>12</v>
      </c>
      <c r="C20" s="66">
        <v>69.914288650885595</v>
      </c>
      <c r="D20" s="66">
        <v>53.946348305231496</v>
      </c>
      <c r="F20" s="19">
        <f t="shared" si="0"/>
        <v>-0.22839308893478727</v>
      </c>
      <c r="H20" s="66">
        <f t="shared" si="1"/>
        <v>41.20670526694451</v>
      </c>
      <c r="I20" s="66">
        <f t="shared" si="2"/>
        <v>47.537098557243894</v>
      </c>
      <c r="K20" s="19">
        <f t="shared" si="3"/>
        <v>0.15362532018247865</v>
      </c>
      <c r="M20" s="66">
        <v>111.12099391783011</v>
      </c>
      <c r="N20" s="66">
        <v>101.48344686247539</v>
      </c>
      <c r="P20" s="19">
        <f t="shared" si="4"/>
        <v>-8.6730209257139368E-2</v>
      </c>
    </row>
    <row r="21" spans="1:16" ht="11.25" customHeight="1" thickBot="1" x14ac:dyDescent="0.25">
      <c r="A21" s="22"/>
      <c r="F21" s="22"/>
      <c r="K21" s="22"/>
      <c r="P21" s="22"/>
    </row>
    <row r="22" spans="1:16" ht="16.5" thickBot="1" x14ac:dyDescent="0.25">
      <c r="A22" s="30"/>
      <c r="B22" s="31" t="s">
        <v>16</v>
      </c>
      <c r="C22" s="59">
        <v>14527.451297993781</v>
      </c>
      <c r="D22" s="60">
        <v>14128.577530986535</v>
      </c>
      <c r="F22" s="32">
        <f>IF(C22,D22/C22-1,"")</f>
        <v>-2.7456555098713697E-2</v>
      </c>
      <c r="H22" s="59">
        <f>M22-C22</f>
        <v>8407.4287869148011</v>
      </c>
      <c r="I22" s="60">
        <f>N22-D22</f>
        <v>8554.1740845575041</v>
      </c>
      <c r="K22" s="32">
        <f>IF(H22,I22/H22-1,"")</f>
        <v>1.7454242118719598E-2</v>
      </c>
      <c r="M22" s="59">
        <v>22934.880084908582</v>
      </c>
      <c r="N22" s="60">
        <v>22682.751615544039</v>
      </c>
      <c r="P22" s="32">
        <f>IF(M22,N22/M22-1,"")</f>
        <v>-1.0993232510094764E-2</v>
      </c>
    </row>
    <row r="23" spans="1:16" ht="6" customHeight="1" thickBot="1" x14ac:dyDescent="0.25">
      <c r="A23" s="33"/>
      <c r="B23" s="34"/>
      <c r="C23" s="35"/>
      <c r="D23" s="35"/>
      <c r="E23" s="36"/>
      <c r="F23" s="33"/>
      <c r="G23" s="36"/>
      <c r="H23" s="35"/>
      <c r="I23" s="35"/>
      <c r="J23" s="36"/>
      <c r="K23" s="33"/>
      <c r="L23" s="36"/>
      <c r="M23" s="35"/>
      <c r="N23" s="35"/>
      <c r="O23" s="36"/>
      <c r="P23" s="33"/>
    </row>
    <row r="24" spans="1:16" ht="16.5" customHeight="1" thickBot="1" x14ac:dyDescent="0.25">
      <c r="A24" s="22"/>
      <c r="B24" s="31" t="s">
        <v>45</v>
      </c>
      <c r="C24" s="37"/>
      <c r="D24" s="37"/>
      <c r="E24" s="38"/>
      <c r="F24" s="30"/>
      <c r="G24" s="38"/>
      <c r="H24" s="37"/>
      <c r="I24" s="37"/>
      <c r="J24" s="38"/>
      <c r="K24" s="30"/>
      <c r="L24" s="38"/>
      <c r="M24" s="59">
        <v>212.72558817777775</v>
      </c>
      <c r="N24" s="60">
        <v>118.40734862222222</v>
      </c>
      <c r="P24" s="32">
        <f>IF(M24,N24/M24-1,"")</f>
        <v>-0.44337985083737297</v>
      </c>
    </row>
    <row r="25" spans="1:16" ht="6" customHeight="1" thickBot="1" x14ac:dyDescent="0.25">
      <c r="A25" s="33"/>
      <c r="B25" s="39"/>
      <c r="C25" s="37"/>
      <c r="D25" s="37"/>
      <c r="E25" s="38"/>
      <c r="F25" s="40"/>
      <c r="G25" s="38"/>
      <c r="H25" s="37"/>
      <c r="I25" s="37"/>
      <c r="J25" s="38"/>
      <c r="K25" s="40"/>
      <c r="L25" s="38"/>
      <c r="M25" s="37"/>
      <c r="N25" s="37"/>
      <c r="O25" s="38"/>
      <c r="P25" s="40"/>
    </row>
    <row r="26" spans="1:16" ht="16.5" customHeight="1" collapsed="1" thickBot="1" x14ac:dyDescent="0.25">
      <c r="A26" s="22"/>
      <c r="B26" s="31" t="s">
        <v>46</v>
      </c>
      <c r="C26" s="37"/>
      <c r="D26" s="37"/>
      <c r="E26" s="38"/>
      <c r="F26" s="30"/>
      <c r="G26" s="38"/>
      <c r="H26" s="37"/>
      <c r="I26" s="37"/>
      <c r="J26" s="38"/>
      <c r="K26" s="30"/>
      <c r="L26" s="38"/>
      <c r="M26" s="59">
        <v>23147.60567308636</v>
      </c>
      <c r="N26" s="60">
        <v>22801.158964166261</v>
      </c>
      <c r="P26" s="32">
        <f>IF(M26,N26/M26-1,"")</f>
        <v>-1.4966848572287139E-2</v>
      </c>
    </row>
    <row r="27" spans="1:16" ht="18" customHeight="1" x14ac:dyDescent="0.2">
      <c r="A27" s="22"/>
      <c r="B27" s="41"/>
      <c r="C27" s="42"/>
      <c r="D27" s="43"/>
      <c r="F27" s="44"/>
      <c r="H27" s="42"/>
      <c r="I27" s="43"/>
      <c r="K27" s="44"/>
      <c r="M27" s="42"/>
      <c r="N27" s="43"/>
      <c r="P27" s="44"/>
    </row>
    <row r="29" spans="1:16" ht="18" x14ac:dyDescent="0.2">
      <c r="B29" s="21" t="s">
        <v>21</v>
      </c>
    </row>
    <row r="30" spans="1:16" ht="45" customHeight="1" x14ac:dyDescent="0.2">
      <c r="A30" s="23"/>
      <c r="C30" s="167" t="str">
        <f>C$5</f>
        <v>I-II 2025 vs I-II 2024</v>
      </c>
      <c r="D30" s="167"/>
      <c r="E30" s="167"/>
      <c r="F30" s="167"/>
      <c r="H30" s="167" t="str">
        <f>H$5</f>
        <v>III 2025 vs III 2024</v>
      </c>
      <c r="I30" s="167"/>
      <c r="J30" s="167"/>
      <c r="K30" s="167"/>
      <c r="M30" s="167" t="str">
        <f>M$5</f>
        <v>I-III 2025 vs I-III 2024</v>
      </c>
      <c r="N30" s="167"/>
      <c r="O30" s="167"/>
      <c r="P30" s="167"/>
    </row>
    <row r="31" spans="1:16" ht="22.5" x14ac:dyDescent="0.2">
      <c r="A31" s="24"/>
      <c r="C31" s="25" t="str">
        <f>C$7</f>
        <v>I-II 2024</v>
      </c>
      <c r="D31" s="25" t="str">
        <f>D$7</f>
        <v>I-II 2025</v>
      </c>
      <c r="F31" s="25" t="str">
        <f>F$7</f>
        <v>I-II 25 /
I-II 24</v>
      </c>
      <c r="H31" s="25" t="str">
        <f>H$7</f>
        <v>III 2024</v>
      </c>
      <c r="I31" s="25" t="str">
        <f>I$7</f>
        <v>III 2025</v>
      </c>
      <c r="K31" s="25" t="str">
        <f>K$7</f>
        <v>III 25 /
III 24</v>
      </c>
      <c r="M31" s="25" t="str">
        <f>M$7</f>
        <v>I-III 2024</v>
      </c>
      <c r="N31" s="25" t="str">
        <f>N$7</f>
        <v>I-III 2025</v>
      </c>
      <c r="P31" s="25" t="str">
        <f>P$7</f>
        <v>I-III 25 /
I-III 24</v>
      </c>
    </row>
    <row r="32" spans="1:16" s="52" customFormat="1" x14ac:dyDescent="0.2">
      <c r="A32" s="40"/>
      <c r="B32" s="27" t="s">
        <v>14</v>
      </c>
      <c r="C32" s="66">
        <v>569.80798307461146</v>
      </c>
      <c r="D32" s="66">
        <v>760.49160793189117</v>
      </c>
      <c r="F32" s="53">
        <f t="shared" ref="F32:F44" si="5">IF(C32,D32/C32-1,"")</f>
        <v>0.33464540778873464</v>
      </c>
      <c r="H32" s="66">
        <f t="shared" ref="H32:H44" si="6">M32-C32</f>
        <v>383.82451854065243</v>
      </c>
      <c r="I32" s="66">
        <f t="shared" ref="I32:I44" si="7">N32-D32</f>
        <v>489.20779197358979</v>
      </c>
      <c r="K32" s="53">
        <f t="shared" ref="K32:K44" si="8">IF(H32,I32/H32-1,"")</f>
        <v>0.27456107763416826</v>
      </c>
      <c r="M32" s="66">
        <v>953.63250161526389</v>
      </c>
      <c r="N32" s="66">
        <v>1249.699399905481</v>
      </c>
      <c r="P32" s="53">
        <f t="shared" ref="P32:P44" si="9">IF(M32,N32/M32-1,"")</f>
        <v>0.31046225646539805</v>
      </c>
    </row>
    <row r="33" spans="1:16" s="20" customFormat="1" ht="11.25" x14ac:dyDescent="0.2">
      <c r="A33" s="26"/>
      <c r="B33" s="54" t="s">
        <v>0</v>
      </c>
      <c r="C33" s="67">
        <v>302.01054794753395</v>
      </c>
      <c r="D33" s="67">
        <v>460.30752915626374</v>
      </c>
      <c r="F33" s="28">
        <f t="shared" si="5"/>
        <v>0.52414388267071232</v>
      </c>
      <c r="H33" s="67">
        <f t="shared" si="6"/>
        <v>200.25274931843967</v>
      </c>
      <c r="I33" s="67">
        <f t="shared" si="7"/>
        <v>260.29413721853984</v>
      </c>
      <c r="K33" s="28">
        <f t="shared" si="8"/>
        <v>0.29982803284574655</v>
      </c>
      <c r="M33" s="67">
        <v>502.26329726597362</v>
      </c>
      <c r="N33" s="67">
        <v>720.60166637480359</v>
      </c>
      <c r="P33" s="28">
        <f t="shared" si="9"/>
        <v>0.43470898689459458</v>
      </c>
    </row>
    <row r="34" spans="1:16" s="20" customFormat="1" ht="11.25" x14ac:dyDescent="0.2">
      <c r="A34" s="26"/>
      <c r="B34" s="54" t="s">
        <v>8</v>
      </c>
      <c r="C34" s="67">
        <v>68.104279496698524</v>
      </c>
      <c r="D34" s="67">
        <v>69.322007422039661</v>
      </c>
      <c r="F34" s="28">
        <f t="shared" si="5"/>
        <v>1.7880343707331381E-2</v>
      </c>
      <c r="H34" s="67">
        <f t="shared" si="6"/>
        <v>38.761587130615879</v>
      </c>
      <c r="I34" s="67">
        <f t="shared" si="7"/>
        <v>34.473359648412668</v>
      </c>
      <c r="K34" s="28">
        <f t="shared" si="8"/>
        <v>-0.11063085388513805</v>
      </c>
      <c r="M34" s="67">
        <v>106.8658666273144</v>
      </c>
      <c r="N34" s="67">
        <v>103.79536707045233</v>
      </c>
      <c r="P34" s="28">
        <f t="shared" si="9"/>
        <v>-2.8732275831067522E-2</v>
      </c>
    </row>
    <row r="35" spans="1:16" x14ac:dyDescent="0.2">
      <c r="A35" s="56"/>
      <c r="B35" s="29" t="s">
        <v>9</v>
      </c>
      <c r="C35" s="68">
        <v>195.18034438455007</v>
      </c>
      <c r="D35" s="68">
        <v>228.56090359967607</v>
      </c>
      <c r="F35" s="57">
        <f t="shared" si="5"/>
        <v>0.17102418442995804</v>
      </c>
      <c r="H35" s="68">
        <f t="shared" si="6"/>
        <v>140.20289391303132</v>
      </c>
      <c r="I35" s="68">
        <f t="shared" si="7"/>
        <v>190.35323747442192</v>
      </c>
      <c r="K35" s="57">
        <f t="shared" si="8"/>
        <v>0.35769834817032486</v>
      </c>
      <c r="M35" s="68">
        <v>335.38323829758139</v>
      </c>
      <c r="N35" s="68">
        <v>418.91414107409798</v>
      </c>
      <c r="P35" s="57">
        <f t="shared" si="9"/>
        <v>0.24906105385744004</v>
      </c>
    </row>
    <row r="36" spans="1:16" s="20" customFormat="1" ht="11.25" x14ac:dyDescent="0.2">
      <c r="A36" s="26"/>
      <c r="B36" s="55" t="s">
        <v>10</v>
      </c>
      <c r="C36" s="67">
        <v>21.372871970263716</v>
      </c>
      <c r="D36" s="67">
        <v>24.448101309919963</v>
      </c>
      <c r="F36" s="28">
        <f t="shared" si="5"/>
        <v>0.14388470318517999</v>
      </c>
      <c r="H36" s="67">
        <f t="shared" si="6"/>
        <v>12.280917692919289</v>
      </c>
      <c r="I36" s="67">
        <f t="shared" si="7"/>
        <v>23.822407174260491</v>
      </c>
      <c r="K36" s="28">
        <f t="shared" si="8"/>
        <v>0.93979047575537344</v>
      </c>
      <c r="M36" s="67">
        <v>33.653789663183005</v>
      </c>
      <c r="N36" s="67">
        <v>48.270508484180453</v>
      </c>
      <c r="P36" s="28">
        <f t="shared" si="9"/>
        <v>0.43432608830345276</v>
      </c>
    </row>
    <row r="37" spans="1:16" s="20" customFormat="1" ht="11.25" x14ac:dyDescent="0.2">
      <c r="A37" s="26"/>
      <c r="B37" s="55" t="s">
        <v>4</v>
      </c>
      <c r="C37" s="67">
        <v>117.69812119521882</v>
      </c>
      <c r="D37" s="67">
        <v>132.47784376010037</v>
      </c>
      <c r="F37" s="28">
        <f t="shared" si="5"/>
        <v>0.12557313927184377</v>
      </c>
      <c r="H37" s="67">
        <f t="shared" si="6"/>
        <v>96.318611029608121</v>
      </c>
      <c r="I37" s="67">
        <f t="shared" si="7"/>
        <v>97.628921894956989</v>
      </c>
      <c r="K37" s="28">
        <f t="shared" si="8"/>
        <v>1.3603921935150032E-2</v>
      </c>
      <c r="M37" s="67">
        <v>214.01673222482694</v>
      </c>
      <c r="N37" s="67">
        <v>230.10676565505736</v>
      </c>
      <c r="P37" s="28">
        <f t="shared" si="9"/>
        <v>7.518119383921662E-2</v>
      </c>
    </row>
    <row r="38" spans="1:16" s="20" customFormat="1" ht="11.25" x14ac:dyDescent="0.2">
      <c r="A38" s="26"/>
      <c r="B38" s="55" t="s">
        <v>11</v>
      </c>
      <c r="C38" s="67">
        <v>52.936251405896954</v>
      </c>
      <c r="D38" s="67">
        <v>54.069388164290643</v>
      </c>
      <c r="F38" s="28">
        <f t="shared" si="5"/>
        <v>2.1405685674740882E-2</v>
      </c>
      <c r="H38" s="67">
        <f t="shared" si="6"/>
        <v>26.495758590995933</v>
      </c>
      <c r="I38" s="67">
        <f t="shared" si="7"/>
        <v>52.252548816481337</v>
      </c>
      <c r="K38" s="28">
        <f t="shared" si="8"/>
        <v>0.97210993740856111</v>
      </c>
      <c r="M38" s="67">
        <v>79.432009996892887</v>
      </c>
      <c r="N38" s="67">
        <v>106.32193698077198</v>
      </c>
      <c r="P38" s="28">
        <f t="shared" si="9"/>
        <v>0.33852759089101414</v>
      </c>
    </row>
    <row r="39" spans="1:16" s="20" customFormat="1" ht="11.25" x14ac:dyDescent="0.2">
      <c r="A39" s="26"/>
      <c r="B39" s="55" t="s">
        <v>6</v>
      </c>
      <c r="C39" s="67">
        <v>3.1730998131705936</v>
      </c>
      <c r="D39" s="67">
        <v>17.565570365365076</v>
      </c>
      <c r="F39" s="28">
        <f t="shared" si="5"/>
        <v>4.5357761808990746</v>
      </c>
      <c r="H39" s="67">
        <f t="shared" si="6"/>
        <v>5.107606599507986</v>
      </c>
      <c r="I39" s="67">
        <f t="shared" si="7"/>
        <v>16.649359588723172</v>
      </c>
      <c r="K39" s="28">
        <f t="shared" si="8"/>
        <v>2.2597184736833489</v>
      </c>
      <c r="M39" s="67">
        <v>8.2807064126785797</v>
      </c>
      <c r="N39" s="67">
        <v>34.214929954088248</v>
      </c>
      <c r="P39" s="28">
        <f t="shared" si="9"/>
        <v>3.1318854031223484</v>
      </c>
    </row>
    <row r="40" spans="1:16" s="20" customFormat="1" ht="11.25" x14ac:dyDescent="0.2">
      <c r="A40" s="26"/>
      <c r="B40" s="54" t="s">
        <v>12</v>
      </c>
      <c r="C40" s="67">
        <v>4.5128112458289795</v>
      </c>
      <c r="D40" s="67">
        <v>2.3011677539118969</v>
      </c>
      <c r="F40" s="28">
        <f t="shared" si="5"/>
        <v>-0.49008109833116131</v>
      </c>
      <c r="H40" s="67">
        <f t="shared" si="6"/>
        <v>4.607288178565458</v>
      </c>
      <c r="I40" s="67">
        <f t="shared" si="7"/>
        <v>4.0870576322149761</v>
      </c>
      <c r="K40" s="28">
        <f t="shared" si="8"/>
        <v>-0.11291469649559949</v>
      </c>
      <c r="M40" s="67">
        <v>9.1200994243944375</v>
      </c>
      <c r="N40" s="67">
        <v>6.388225386126873</v>
      </c>
      <c r="P40" s="28">
        <f t="shared" si="9"/>
        <v>-0.29954432634367445</v>
      </c>
    </row>
    <row r="41" spans="1:16" s="52" customFormat="1" x14ac:dyDescent="0.2">
      <c r="A41" s="58"/>
      <c r="B41" s="27" t="s">
        <v>27</v>
      </c>
      <c r="C41" s="66">
        <v>1071.2541847951209</v>
      </c>
      <c r="D41" s="66">
        <v>1197.6997529866758</v>
      </c>
      <c r="F41" s="19">
        <f t="shared" si="5"/>
        <v>0.11803507513554101</v>
      </c>
      <c r="H41" s="66">
        <f t="shared" si="6"/>
        <v>738.31384248903692</v>
      </c>
      <c r="I41" s="66">
        <f t="shared" si="7"/>
        <v>1002.4722539853624</v>
      </c>
      <c r="K41" s="19">
        <f t="shared" si="8"/>
        <v>0.35778607455845979</v>
      </c>
      <c r="M41" s="66">
        <v>1809.5680272841578</v>
      </c>
      <c r="N41" s="66">
        <v>2200.1720069720382</v>
      </c>
      <c r="P41" s="19">
        <f t="shared" si="9"/>
        <v>0.21585481938145645</v>
      </c>
    </row>
    <row r="42" spans="1:16" s="52" customFormat="1" x14ac:dyDescent="0.2">
      <c r="A42" s="58"/>
      <c r="B42" s="27" t="s">
        <v>7</v>
      </c>
      <c r="C42" s="66">
        <v>27.586328904343457</v>
      </c>
      <c r="D42" s="66">
        <v>24.919801517185761</v>
      </c>
      <c r="F42" s="19">
        <f t="shared" si="5"/>
        <v>-9.6661190273050535E-2</v>
      </c>
      <c r="H42" s="66">
        <f t="shared" si="6"/>
        <v>7.4522391833401933</v>
      </c>
      <c r="I42" s="66">
        <f t="shared" si="7"/>
        <v>14.766166908315519</v>
      </c>
      <c r="K42" s="19">
        <f t="shared" si="8"/>
        <v>0.98144028191230515</v>
      </c>
      <c r="M42" s="66">
        <v>35.03856808768365</v>
      </c>
      <c r="N42" s="66">
        <v>39.685968425501279</v>
      </c>
      <c r="P42" s="19">
        <f t="shared" si="9"/>
        <v>0.13263670838909736</v>
      </c>
    </row>
    <row r="43" spans="1:16" s="52" customFormat="1" x14ac:dyDescent="0.2">
      <c r="A43" s="58"/>
      <c r="B43" s="27" t="s">
        <v>15</v>
      </c>
      <c r="C43" s="66">
        <v>8.673161707906667</v>
      </c>
      <c r="D43" s="66">
        <v>19.278458257062454</v>
      </c>
      <c r="F43" s="19">
        <f t="shared" si="5"/>
        <v>1.222771684227649</v>
      </c>
      <c r="H43" s="66">
        <f t="shared" si="6"/>
        <v>18.060605044934583</v>
      </c>
      <c r="I43" s="66">
        <f t="shared" si="7"/>
        <v>5.1427068412114316</v>
      </c>
      <c r="K43" s="19">
        <f t="shared" si="8"/>
        <v>-0.71525279311427081</v>
      </c>
      <c r="M43" s="66">
        <v>26.733766752841248</v>
      </c>
      <c r="N43" s="66">
        <v>24.421165098273885</v>
      </c>
      <c r="P43" s="19">
        <f t="shared" si="9"/>
        <v>-8.6504893827637708E-2</v>
      </c>
    </row>
    <row r="44" spans="1:16" s="52" customFormat="1" x14ac:dyDescent="0.2">
      <c r="A44" s="58"/>
      <c r="B44" s="27" t="s">
        <v>12</v>
      </c>
      <c r="C44" s="66">
        <v>10.830139334042297</v>
      </c>
      <c r="D44" s="66">
        <v>8.1020162611218858</v>
      </c>
      <c r="F44" s="19">
        <f t="shared" si="5"/>
        <v>-0.25190101334570292</v>
      </c>
      <c r="H44" s="66">
        <f t="shared" si="6"/>
        <v>2.1145708155724225</v>
      </c>
      <c r="I44" s="66">
        <f t="shared" si="7"/>
        <v>4.7365777196658936</v>
      </c>
      <c r="K44" s="19">
        <f t="shared" si="8"/>
        <v>1.2399711964168407</v>
      </c>
      <c r="M44" s="66">
        <v>12.944710149614719</v>
      </c>
      <c r="N44" s="66">
        <v>12.838593980787779</v>
      </c>
      <c r="P44" s="19">
        <f t="shared" si="9"/>
        <v>-8.1976473478704293E-3</v>
      </c>
    </row>
    <row r="45" spans="1:16" ht="11.25" customHeight="1" thickBot="1" x14ac:dyDescent="0.25">
      <c r="A45" s="22"/>
      <c r="F45" s="22"/>
      <c r="K45" s="22"/>
      <c r="P45" s="22"/>
    </row>
    <row r="46" spans="1:16" ht="16.5" thickBot="1" x14ac:dyDescent="0.25">
      <c r="A46" s="30"/>
      <c r="B46" s="31" t="s">
        <v>17</v>
      </c>
      <c r="C46" s="59">
        <v>1688.151797816025</v>
      </c>
      <c r="D46" s="60">
        <v>2010.4916369539371</v>
      </c>
      <c r="F46" s="32">
        <f>IF(C46,D46/C46-1,"")</f>
        <v>0.1909424493430778</v>
      </c>
      <c r="H46" s="59">
        <f>M46-C46</f>
        <v>1149.7657760735365</v>
      </c>
      <c r="I46" s="60">
        <f>N46-D46</f>
        <v>1516.3254974281447</v>
      </c>
      <c r="K46" s="32">
        <f>IF(H46,I46/H46-1,"")</f>
        <v>0.31881251728192317</v>
      </c>
      <c r="M46" s="59">
        <v>2837.9175738895615</v>
      </c>
      <c r="N46" s="60">
        <v>3526.8171343820818</v>
      </c>
      <c r="P46" s="32">
        <f>IF(M46,N46/M46-1,"")</f>
        <v>0.24274826261015603</v>
      </c>
    </row>
    <row r="47" spans="1:16" ht="6" customHeight="1" thickBot="1" x14ac:dyDescent="0.25">
      <c r="A47" s="33"/>
      <c r="B47" s="34"/>
      <c r="C47" s="35"/>
      <c r="D47" s="35"/>
      <c r="E47" s="36"/>
      <c r="F47" s="33"/>
      <c r="G47" s="36"/>
      <c r="H47" s="35"/>
      <c r="I47" s="35"/>
      <c r="J47" s="36"/>
      <c r="K47" s="33"/>
      <c r="L47" s="36"/>
      <c r="M47" s="35"/>
      <c r="N47" s="35"/>
      <c r="O47" s="36"/>
      <c r="P47" s="33"/>
    </row>
    <row r="48" spans="1:16" ht="16.5" customHeight="1" thickBot="1" x14ac:dyDescent="0.25">
      <c r="A48" s="22"/>
      <c r="B48" s="31" t="s">
        <v>45</v>
      </c>
      <c r="C48" s="37"/>
      <c r="D48" s="37"/>
      <c r="E48" s="38"/>
      <c r="F48" s="30"/>
      <c r="G48" s="38"/>
      <c r="H48" s="37"/>
      <c r="I48" s="37"/>
      <c r="J48" s="38"/>
      <c r="K48" s="30"/>
      <c r="L48" s="38"/>
      <c r="M48" s="59">
        <v>6.7137936432812815</v>
      </c>
      <c r="N48" s="60">
        <v>14.094729766538167</v>
      </c>
      <c r="P48" s="32">
        <f>IF(M48,N48/M48-1,"")</f>
        <v>1.0993689284214501</v>
      </c>
    </row>
    <row r="49" spans="1:16" ht="6" customHeight="1" thickBot="1" x14ac:dyDescent="0.25">
      <c r="A49" s="33"/>
      <c r="B49" s="39"/>
      <c r="C49" s="37"/>
      <c r="D49" s="37"/>
      <c r="E49" s="38"/>
      <c r="F49" s="40"/>
      <c r="G49" s="38"/>
      <c r="H49" s="37"/>
      <c r="I49" s="37"/>
      <c r="J49" s="38"/>
      <c r="K49" s="40"/>
      <c r="L49" s="38"/>
      <c r="M49" s="37"/>
      <c r="N49" s="37"/>
      <c r="O49" s="38"/>
      <c r="P49" s="40"/>
    </row>
    <row r="50" spans="1:16" ht="16.5" customHeight="1" collapsed="1" thickBot="1" x14ac:dyDescent="0.25">
      <c r="A50" s="22"/>
      <c r="B50" s="31" t="s">
        <v>47</v>
      </c>
      <c r="C50" s="37"/>
      <c r="D50" s="37"/>
      <c r="E50" s="38"/>
      <c r="F50" s="30"/>
      <c r="G50" s="38"/>
      <c r="H50" s="37"/>
      <c r="I50" s="37"/>
      <c r="J50" s="38"/>
      <c r="K50" s="30"/>
      <c r="L50" s="38"/>
      <c r="M50" s="59">
        <f>M48+M46</f>
        <v>2844.6313675328429</v>
      </c>
      <c r="N50" s="59">
        <f>N48+N46</f>
        <v>3540.9118641486198</v>
      </c>
      <c r="P50" s="32">
        <f>IF(M50,N50/M50-1,"")</f>
        <v>0.24477002699286943</v>
      </c>
    </row>
    <row r="51" spans="1:16" ht="18" customHeight="1" x14ac:dyDescent="0.2">
      <c r="A51" s="22"/>
      <c r="B51" s="45"/>
      <c r="C51" s="46"/>
      <c r="D51" s="46"/>
      <c r="E51" s="38"/>
      <c r="F51" s="47"/>
      <c r="G51" s="38"/>
      <c r="H51" s="46"/>
      <c r="I51" s="46"/>
      <c r="J51" s="38"/>
      <c r="K51" s="47"/>
      <c r="L51" s="38"/>
      <c r="M51" s="46"/>
      <c r="N51" s="46"/>
      <c r="O51" s="38"/>
      <c r="P51" s="47"/>
    </row>
    <row r="52" spans="1:16" ht="18" customHeight="1" x14ac:dyDescent="0.2">
      <c r="A52" s="22"/>
      <c r="B52" s="39"/>
      <c r="C52" s="37"/>
      <c r="D52" s="37"/>
      <c r="E52" s="38"/>
      <c r="F52" s="30"/>
      <c r="G52" s="38"/>
      <c r="H52" s="37"/>
      <c r="I52" s="37"/>
      <c r="J52" s="38"/>
      <c r="K52" s="30"/>
      <c r="L52" s="38"/>
      <c r="M52" s="37"/>
      <c r="N52" s="37"/>
      <c r="O52" s="38"/>
      <c r="P52" s="30"/>
    </row>
    <row r="53" spans="1:16" ht="18" x14ac:dyDescent="0.2">
      <c r="B53" s="21" t="s">
        <v>19</v>
      </c>
    </row>
    <row r="55" spans="1:16" ht="45" customHeight="1" x14ac:dyDescent="0.2">
      <c r="A55" s="23"/>
      <c r="C55" s="167" t="str">
        <f>C$5</f>
        <v>I-II 2025 vs I-II 2024</v>
      </c>
      <c r="D55" s="167"/>
      <c r="E55" s="167"/>
      <c r="F55" s="167"/>
      <c r="H55" s="167" t="str">
        <f>H$5</f>
        <v>III 2025 vs III 2024</v>
      </c>
      <c r="I55" s="167"/>
      <c r="J55" s="167"/>
      <c r="K55" s="167"/>
      <c r="M55" s="167" t="str">
        <f>M$5</f>
        <v>I-III 2025 vs I-III 2024</v>
      </c>
      <c r="N55" s="167"/>
      <c r="O55" s="167"/>
      <c r="P55" s="167"/>
    </row>
    <row r="56" spans="1:16" ht="22.5" x14ac:dyDescent="0.2">
      <c r="A56" s="24"/>
      <c r="C56" s="25" t="str">
        <f>C$7</f>
        <v>I-II 2024</v>
      </c>
      <c r="D56" s="25" t="str">
        <f>D$7</f>
        <v>I-II 2025</v>
      </c>
      <c r="F56" s="25" t="str">
        <f>F$7</f>
        <v>I-II 25 /
I-II 24</v>
      </c>
      <c r="H56" s="25" t="str">
        <f>H$7</f>
        <v>III 2024</v>
      </c>
      <c r="I56" s="25" t="str">
        <f>I$7</f>
        <v>III 2025</v>
      </c>
      <c r="K56" s="25" t="str">
        <f>K$7</f>
        <v>III 25 /
III 24</v>
      </c>
      <c r="M56" s="25" t="str">
        <f>M$7</f>
        <v>I-III 2024</v>
      </c>
      <c r="N56" s="25" t="str">
        <f>N$7</f>
        <v>I-III 2025</v>
      </c>
      <c r="P56" s="25" t="str">
        <f>P$7</f>
        <v>I-III 25 /
I-III 24</v>
      </c>
    </row>
    <row r="57" spans="1:16" s="52" customFormat="1" x14ac:dyDescent="0.2">
      <c r="A57" s="40"/>
      <c r="B57" s="27" t="s">
        <v>14</v>
      </c>
      <c r="C57" s="66">
        <v>12121.552910006871</v>
      </c>
      <c r="D57" s="66">
        <v>12136.642557623323</v>
      </c>
      <c r="F57" s="53">
        <f t="shared" ref="F57:F69" si="10">IF(C57,D57/C57-1,"")</f>
        <v>1.244860928998337E-3</v>
      </c>
      <c r="H57" s="66">
        <f t="shared" ref="H57:H69" si="11">M57-C57</f>
        <v>7117.8398288000608</v>
      </c>
      <c r="I57" s="66">
        <f t="shared" ref="I57:I69" si="12">N57-D57</f>
        <v>7566.827739522294</v>
      </c>
      <c r="K57" s="53">
        <f t="shared" ref="K57:K69" si="13">IF(H57,I57/H57-1,"")</f>
        <v>6.3079237735239158E-2</v>
      </c>
      <c r="M57" s="66">
        <v>19239.392738806931</v>
      </c>
      <c r="N57" s="66">
        <v>19703.470297145617</v>
      </c>
      <c r="P57" s="53">
        <f t="shared" ref="P57:P69" si="14">IF(M57,N57/M57-1,"")</f>
        <v>2.4121216539366941E-2</v>
      </c>
    </row>
    <row r="58" spans="1:16" s="20" customFormat="1" ht="11.25" x14ac:dyDescent="0.2">
      <c r="A58" s="26"/>
      <c r="B58" s="54" t="s">
        <v>0</v>
      </c>
      <c r="C58" s="67">
        <v>7805.6121743711192</v>
      </c>
      <c r="D58" s="67">
        <v>8079.3282206542863</v>
      </c>
      <c r="F58" s="28">
        <f t="shared" si="10"/>
        <v>3.5066570074014702E-2</v>
      </c>
      <c r="H58" s="67">
        <f t="shared" si="11"/>
        <v>4533.6437763599388</v>
      </c>
      <c r="I58" s="67">
        <f t="shared" si="12"/>
        <v>4972.622043927131</v>
      </c>
      <c r="K58" s="28">
        <f t="shared" si="13"/>
        <v>9.6826810667433483E-2</v>
      </c>
      <c r="M58" s="67">
        <v>12339.255950731058</v>
      </c>
      <c r="N58" s="67">
        <v>13051.950264581417</v>
      </c>
      <c r="P58" s="28">
        <f t="shared" si="14"/>
        <v>5.7758289210958047E-2</v>
      </c>
    </row>
    <row r="59" spans="1:16" s="20" customFormat="1" ht="11.25" x14ac:dyDescent="0.2">
      <c r="A59" s="26"/>
      <c r="B59" s="54" t="s">
        <v>8</v>
      </c>
      <c r="C59" s="67">
        <v>1287.3961358187387</v>
      </c>
      <c r="D59" s="67">
        <v>1246.6601451656143</v>
      </c>
      <c r="F59" s="28">
        <f t="shared" si="10"/>
        <v>-3.164215700182893E-2</v>
      </c>
      <c r="H59" s="67">
        <f t="shared" si="11"/>
        <v>732.3299434908065</v>
      </c>
      <c r="I59" s="67">
        <f t="shared" si="12"/>
        <v>710.34317318657872</v>
      </c>
      <c r="K59" s="28">
        <f t="shared" si="13"/>
        <v>-3.0023038795086165E-2</v>
      </c>
      <c r="M59" s="67">
        <v>2019.7260793095452</v>
      </c>
      <c r="N59" s="67">
        <v>1957.003318352193</v>
      </c>
      <c r="P59" s="28">
        <f t="shared" si="14"/>
        <v>-3.1055082963920677E-2</v>
      </c>
    </row>
    <row r="60" spans="1:16" x14ac:dyDescent="0.2">
      <c r="A60" s="56"/>
      <c r="B60" s="29" t="s">
        <v>9</v>
      </c>
      <c r="C60" s="68">
        <v>2908.6043382789294</v>
      </c>
      <c r="D60" s="68">
        <v>2703.3878184289824</v>
      </c>
      <c r="F60" s="57">
        <f t="shared" si="10"/>
        <v>-7.0554979633763781E-2</v>
      </c>
      <c r="H60" s="68">
        <f t="shared" si="11"/>
        <v>1742.1743057025596</v>
      </c>
      <c r="I60" s="68">
        <f t="shared" si="12"/>
        <v>1797.1146113053219</v>
      </c>
      <c r="K60" s="57">
        <f t="shared" si="13"/>
        <v>3.1535481508899066E-2</v>
      </c>
      <c r="M60" s="68">
        <v>4650.778643981489</v>
      </c>
      <c r="N60" s="68">
        <v>4500.5024297343043</v>
      </c>
      <c r="P60" s="57">
        <f t="shared" si="14"/>
        <v>-3.2312054765636922E-2</v>
      </c>
    </row>
    <row r="61" spans="1:16" s="20" customFormat="1" ht="11.25" x14ac:dyDescent="0.2">
      <c r="A61" s="26"/>
      <c r="B61" s="55" t="s">
        <v>10</v>
      </c>
      <c r="C61" s="67">
        <v>619.47322550965214</v>
      </c>
      <c r="D61" s="67">
        <v>584.84201026990354</v>
      </c>
      <c r="F61" s="28">
        <f t="shared" si="10"/>
        <v>-5.5904297092512545E-2</v>
      </c>
      <c r="H61" s="67">
        <f t="shared" si="11"/>
        <v>371.41128127359923</v>
      </c>
      <c r="I61" s="67">
        <f t="shared" si="12"/>
        <v>417.92837692325998</v>
      </c>
      <c r="K61" s="28">
        <f t="shared" si="13"/>
        <v>0.12524416460951282</v>
      </c>
      <c r="M61" s="67">
        <v>990.88450678325137</v>
      </c>
      <c r="N61" s="67">
        <v>1002.7703871931635</v>
      </c>
      <c r="P61" s="28">
        <f t="shared" si="14"/>
        <v>1.1995222781813197E-2</v>
      </c>
    </row>
    <row r="62" spans="1:16" s="20" customFormat="1" ht="11.25" x14ac:dyDescent="0.2">
      <c r="A62" s="26"/>
      <c r="B62" s="55" t="s">
        <v>4</v>
      </c>
      <c r="C62" s="67">
        <v>1521.2949113619895</v>
      </c>
      <c r="D62" s="67">
        <v>1256.5187988294847</v>
      </c>
      <c r="F62" s="28">
        <f t="shared" si="10"/>
        <v>-0.17404653795591496</v>
      </c>
      <c r="H62" s="67">
        <f t="shared" si="11"/>
        <v>925.92549874402698</v>
      </c>
      <c r="I62" s="67">
        <f t="shared" si="12"/>
        <v>778.76953332086759</v>
      </c>
      <c r="K62" s="28">
        <f t="shared" si="13"/>
        <v>-0.15892851597970825</v>
      </c>
      <c r="M62" s="67">
        <v>2447.2204101060165</v>
      </c>
      <c r="N62" s="67">
        <v>2035.2883321503523</v>
      </c>
      <c r="P62" s="28">
        <f t="shared" si="14"/>
        <v>-0.16832651291013823</v>
      </c>
    </row>
    <row r="63" spans="1:16" s="20" customFormat="1" ht="11.25" x14ac:dyDescent="0.2">
      <c r="A63" s="26"/>
      <c r="B63" s="55" t="s">
        <v>11</v>
      </c>
      <c r="C63" s="67">
        <v>576.61876287061989</v>
      </c>
      <c r="D63" s="67">
        <v>568.43622495396301</v>
      </c>
      <c r="F63" s="28">
        <f t="shared" si="10"/>
        <v>-1.419055092123811E-2</v>
      </c>
      <c r="H63" s="67">
        <f t="shared" si="11"/>
        <v>329.03172907275189</v>
      </c>
      <c r="I63" s="67">
        <f t="shared" si="12"/>
        <v>441.07294451437042</v>
      </c>
      <c r="K63" s="28">
        <f t="shared" si="13"/>
        <v>0.34051796693699776</v>
      </c>
      <c r="M63" s="67">
        <v>905.65049194337178</v>
      </c>
      <c r="N63" s="67">
        <v>1009.5091694683334</v>
      </c>
      <c r="P63" s="28">
        <f t="shared" si="14"/>
        <v>0.11467854150015278</v>
      </c>
    </row>
    <row r="64" spans="1:16" s="20" customFormat="1" ht="11.25" x14ac:dyDescent="0.2">
      <c r="A64" s="26"/>
      <c r="B64" s="55" t="s">
        <v>6</v>
      </c>
      <c r="C64" s="67">
        <v>191.21743853666817</v>
      </c>
      <c r="D64" s="67">
        <v>293.59078437563107</v>
      </c>
      <c r="F64" s="28">
        <f t="shared" si="10"/>
        <v>0.53537661953008331</v>
      </c>
      <c r="H64" s="67">
        <f t="shared" si="11"/>
        <v>115.8057966121815</v>
      </c>
      <c r="I64" s="67">
        <f t="shared" si="12"/>
        <v>159.34375654682378</v>
      </c>
      <c r="K64" s="28">
        <f t="shared" si="13"/>
        <v>0.37595665509253595</v>
      </c>
      <c r="M64" s="67">
        <v>307.02323514884966</v>
      </c>
      <c r="N64" s="67">
        <v>452.93454092245486</v>
      </c>
      <c r="P64" s="28">
        <f t="shared" si="14"/>
        <v>0.47524515759488084</v>
      </c>
    </row>
    <row r="65" spans="1:16" s="20" customFormat="1" ht="11.25" x14ac:dyDescent="0.2">
      <c r="A65" s="26"/>
      <c r="B65" s="54" t="s">
        <v>12</v>
      </c>
      <c r="C65" s="67">
        <v>119.94026153808338</v>
      </c>
      <c r="D65" s="67">
        <v>107.26637337444268</v>
      </c>
      <c r="F65" s="28">
        <f t="shared" si="10"/>
        <v>-0.10566833856383151</v>
      </c>
      <c r="H65" s="67">
        <f t="shared" si="11"/>
        <v>109.69180324675813</v>
      </c>
      <c r="I65" s="67">
        <f t="shared" si="12"/>
        <v>86.747911103256172</v>
      </c>
      <c r="K65" s="28">
        <f t="shared" si="13"/>
        <v>-0.20916687905921583</v>
      </c>
      <c r="M65" s="67">
        <v>229.6320647848415</v>
      </c>
      <c r="N65" s="67">
        <v>194.01428447769885</v>
      </c>
      <c r="P65" s="28">
        <f t="shared" si="14"/>
        <v>-0.15510804355879249</v>
      </c>
    </row>
    <row r="66" spans="1:16" s="52" customFormat="1" x14ac:dyDescent="0.2">
      <c r="A66" s="58"/>
      <c r="B66" s="27" t="s">
        <v>27</v>
      </c>
      <c r="C66" s="66">
        <v>3612.6780359851391</v>
      </c>
      <c r="D66" s="66">
        <v>3531.972144344496</v>
      </c>
      <c r="F66" s="19">
        <f t="shared" si="10"/>
        <v>-2.2339630278908951E-2</v>
      </c>
      <c r="H66" s="66">
        <f t="shared" si="11"/>
        <v>2277.9039207549667</v>
      </c>
      <c r="I66" s="66">
        <f t="shared" si="12"/>
        <v>2306.2438224137604</v>
      </c>
      <c r="K66" s="19">
        <f t="shared" si="13"/>
        <v>1.2441219052558239E-2</v>
      </c>
      <c r="M66" s="66">
        <v>5890.5819567401059</v>
      </c>
      <c r="N66" s="66">
        <v>5838.2159667582564</v>
      </c>
      <c r="P66" s="19">
        <f t="shared" si="14"/>
        <v>-8.8897820905337044E-3</v>
      </c>
    </row>
    <row r="67" spans="1:16" s="52" customFormat="1" x14ac:dyDescent="0.2">
      <c r="A67" s="58"/>
      <c r="B67" s="27" t="s">
        <v>7</v>
      </c>
      <c r="C67" s="66">
        <v>150.35833099957986</v>
      </c>
      <c r="D67" s="66">
        <v>185.1036829275202</v>
      </c>
      <c r="F67" s="19">
        <f t="shared" si="10"/>
        <v>0.23108364995111197</v>
      </c>
      <c r="H67" s="66">
        <f t="shared" si="11"/>
        <v>58.133417522044425</v>
      </c>
      <c r="I67" s="66">
        <f t="shared" si="12"/>
        <v>80.164220235962148</v>
      </c>
      <c r="K67" s="19">
        <f t="shared" si="13"/>
        <v>0.37896968134659481</v>
      </c>
      <c r="M67" s="66">
        <v>208.49174852162429</v>
      </c>
      <c r="N67" s="66">
        <v>265.26790316348234</v>
      </c>
      <c r="P67" s="19">
        <f t="shared" si="14"/>
        <v>0.27231847324628955</v>
      </c>
    </row>
    <row r="68" spans="1:16" s="52" customFormat="1" x14ac:dyDescent="0.2">
      <c r="A68" s="58"/>
      <c r="B68" s="27" t="s">
        <v>15</v>
      </c>
      <c r="C68" s="66">
        <v>250.26939083328702</v>
      </c>
      <c r="D68" s="66">
        <v>223.30241847878034</v>
      </c>
      <c r="F68" s="19">
        <f t="shared" si="10"/>
        <v>-0.10775178005076258</v>
      </c>
      <c r="H68" s="66">
        <f t="shared" si="11"/>
        <v>59.996119828746743</v>
      </c>
      <c r="I68" s="66">
        <f t="shared" si="12"/>
        <v>64.990123536725775</v>
      </c>
      <c r="K68" s="19">
        <f t="shared" si="13"/>
        <v>8.3238778144885783E-2</v>
      </c>
      <c r="M68" s="66">
        <v>310.26551066203376</v>
      </c>
      <c r="N68" s="66">
        <v>288.29254201550611</v>
      </c>
      <c r="P68" s="19">
        <f t="shared" si="14"/>
        <v>-7.0819887778188706E-2</v>
      </c>
    </row>
    <row r="69" spans="1:16" s="52" customFormat="1" x14ac:dyDescent="0.2">
      <c r="A69" s="58"/>
      <c r="B69" s="27" t="s">
        <v>12</v>
      </c>
      <c r="C69" s="66">
        <v>80.744427984927896</v>
      </c>
      <c r="D69" s="66">
        <v>62.048364566353378</v>
      </c>
      <c r="F69" s="19">
        <f t="shared" si="10"/>
        <v>-0.23154617458017546</v>
      </c>
      <c r="H69" s="66">
        <f t="shared" si="11"/>
        <v>43.321276082516931</v>
      </c>
      <c r="I69" s="66">
        <f t="shared" si="12"/>
        <v>52.273676276909789</v>
      </c>
      <c r="K69" s="19">
        <f t="shared" si="13"/>
        <v>0.20665135018969938</v>
      </c>
      <c r="M69" s="66">
        <v>124.06570406744483</v>
      </c>
      <c r="N69" s="66">
        <v>114.32204084326317</v>
      </c>
      <c r="P69" s="19">
        <f t="shared" si="14"/>
        <v>-7.8536315071285112E-2</v>
      </c>
    </row>
    <row r="70" spans="1:16" ht="11.25" customHeight="1" thickBot="1" x14ac:dyDescent="0.25">
      <c r="A70" s="22"/>
      <c r="F70" s="22"/>
      <c r="K70" s="22"/>
      <c r="P70" s="22"/>
    </row>
    <row r="71" spans="1:16" ht="16.5" thickBot="1" x14ac:dyDescent="0.25">
      <c r="A71" s="30"/>
      <c r="B71" s="31" t="s">
        <v>18</v>
      </c>
      <c r="C71" s="59">
        <v>16215.603095809805</v>
      </c>
      <c r="D71" s="60">
        <v>16139.069167940474</v>
      </c>
      <c r="F71" s="32">
        <f>IF(C71,D71/C71-1,"")</f>
        <v>-4.7197706688509866E-3</v>
      </c>
      <c r="H71" s="59">
        <f>M71-C71</f>
        <v>9557.1945629883339</v>
      </c>
      <c r="I71" s="60">
        <f>N71-D71</f>
        <v>10070.499581985656</v>
      </c>
      <c r="K71" s="32">
        <f>IF(H71,I71/H71-1,"")</f>
        <v>5.3708754762111122E-2</v>
      </c>
      <c r="M71" s="59">
        <v>25772.797658798139</v>
      </c>
      <c r="N71" s="60">
        <v>26209.568749926129</v>
      </c>
      <c r="P71" s="32">
        <f>IF(M71,N71/M71-1,"")</f>
        <v>1.6946980180822191E-2</v>
      </c>
    </row>
    <row r="72" spans="1:16" ht="6" customHeight="1" thickBot="1" x14ac:dyDescent="0.25">
      <c r="A72" s="33"/>
      <c r="B72" s="34"/>
      <c r="C72" s="35"/>
      <c r="D72" s="35"/>
      <c r="E72" s="36"/>
      <c r="F72" s="33"/>
      <c r="G72" s="36"/>
      <c r="H72" s="35"/>
      <c r="I72" s="35"/>
      <c r="J72" s="36"/>
      <c r="K72" s="33"/>
      <c r="L72" s="36"/>
      <c r="M72" s="35"/>
      <c r="N72" s="35"/>
      <c r="O72" s="36"/>
      <c r="P72" s="33"/>
    </row>
    <row r="73" spans="1:16" ht="16.5" customHeight="1" thickBot="1" x14ac:dyDescent="0.25">
      <c r="A73" s="22"/>
      <c r="B73" s="31" t="s">
        <v>45</v>
      </c>
      <c r="C73" s="37"/>
      <c r="D73" s="37"/>
      <c r="E73" s="38"/>
      <c r="F73" s="30"/>
      <c r="G73" s="38"/>
      <c r="H73" s="37"/>
      <c r="I73" s="37"/>
      <c r="J73" s="38"/>
      <c r="K73" s="30"/>
      <c r="L73" s="38"/>
      <c r="M73" s="59">
        <v>219.43938182105904</v>
      </c>
      <c r="N73" s="60">
        <v>132.5020783887604</v>
      </c>
      <c r="P73" s="32">
        <f>IF(M73,N73/M73-1,"")</f>
        <v>-0.39617913024924267</v>
      </c>
    </row>
    <row r="74" spans="1:16" ht="6" customHeight="1" thickBot="1" x14ac:dyDescent="0.25">
      <c r="A74" s="33"/>
      <c r="B74" s="39"/>
      <c r="C74" s="37"/>
      <c r="D74" s="37"/>
      <c r="E74" s="38"/>
      <c r="F74" s="40"/>
      <c r="G74" s="38"/>
      <c r="H74" s="37"/>
      <c r="I74" s="37"/>
      <c r="J74" s="38"/>
      <c r="K74" s="40"/>
      <c r="L74" s="38"/>
      <c r="M74" s="37"/>
      <c r="N74" s="37"/>
      <c r="O74" s="38"/>
      <c r="P74" s="40"/>
    </row>
    <row r="75" spans="1:16" ht="16.5" customHeight="1" thickBot="1" x14ac:dyDescent="0.25">
      <c r="A75" s="22"/>
      <c r="B75" s="31" t="s">
        <v>48</v>
      </c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59">
        <f>M73+M71</f>
        <v>25992.237040619199</v>
      </c>
      <c r="N75" s="59">
        <f>N73+N71</f>
        <v>26342.070828314889</v>
      </c>
      <c r="P75" s="32">
        <f>IF(M75,N75/M75-1,"")</f>
        <v>1.3459164255427147E-2</v>
      </c>
    </row>
    <row r="76" spans="1:16" ht="18" customHeight="1" x14ac:dyDescent="0.2">
      <c r="A76" s="22"/>
      <c r="B76" s="16"/>
      <c r="C76" s="18"/>
      <c r="D76" s="70"/>
      <c r="E76" s="17"/>
      <c r="F76" s="48"/>
      <c r="G76" s="17"/>
      <c r="H76" s="18"/>
      <c r="I76" s="70"/>
      <c r="J76" s="17"/>
      <c r="K76" s="48"/>
      <c r="L76" s="17"/>
      <c r="M76" s="18"/>
      <c r="N76" s="18"/>
      <c r="O76" s="17"/>
      <c r="P76" s="48"/>
    </row>
    <row r="77" spans="1:16" ht="18" customHeight="1" x14ac:dyDescent="0.2">
      <c r="A77" s="22"/>
      <c r="B77" s="16"/>
      <c r="C77" s="15"/>
      <c r="D77" s="70"/>
      <c r="E77" s="17"/>
      <c r="F77" s="49"/>
      <c r="G77" s="17"/>
      <c r="H77" s="15"/>
      <c r="I77" s="70"/>
      <c r="J77" s="17"/>
      <c r="K77" s="49"/>
      <c r="L77" s="17"/>
      <c r="M77" s="15"/>
      <c r="N77" s="15"/>
      <c r="O77" s="17"/>
      <c r="P77" s="49"/>
    </row>
    <row r="78" spans="1:16" ht="18" customHeight="1" x14ac:dyDescent="0.2">
      <c r="A78" s="22"/>
      <c r="B78" s="16"/>
      <c r="C78" s="15"/>
      <c r="D78" s="15"/>
      <c r="E78" s="17"/>
      <c r="F78" s="49"/>
      <c r="G78" s="17"/>
      <c r="H78" s="15"/>
      <c r="I78" s="15"/>
      <c r="J78" s="17"/>
      <c r="K78" s="49"/>
      <c r="L78" s="17"/>
      <c r="M78" s="15"/>
      <c r="N78" s="15"/>
      <c r="O78" s="17"/>
      <c r="P78" s="49"/>
    </row>
    <row r="79" spans="1:16" ht="18" customHeight="1" x14ac:dyDescent="0.2">
      <c r="A79" s="22"/>
      <c r="B79" s="50"/>
      <c r="C79" s="164" t="str">
        <f>N7</f>
        <v>I-III 2025</v>
      </c>
      <c r="D79" s="164"/>
      <c r="E79" s="164"/>
      <c r="F79" s="164"/>
      <c r="G79" s="38"/>
      <c r="H79" s="165" t="str">
        <f>M7</f>
        <v>I-III 2024</v>
      </c>
      <c r="I79" s="165"/>
      <c r="J79" s="165"/>
      <c r="K79" s="165"/>
      <c r="L79" s="38"/>
      <c r="M79" s="166" t="s">
        <v>91</v>
      </c>
      <c r="N79" s="166"/>
      <c r="O79" s="166"/>
      <c r="P79" s="166"/>
    </row>
    <row r="80" spans="1:16" s="38" customFormat="1" x14ac:dyDescent="0.2">
      <c r="A80" s="51"/>
      <c r="F80" s="51"/>
      <c r="K80" s="51"/>
      <c r="P80" s="51"/>
    </row>
    <row r="81" spans="1:16" s="38" customFormat="1" ht="44.1" customHeight="1" x14ac:dyDescent="0.2">
      <c r="A81" s="51"/>
      <c r="C81" s="120" t="s">
        <v>52</v>
      </c>
      <c r="D81" s="120" t="s">
        <v>53</v>
      </c>
      <c r="E81" s="119"/>
      <c r="F81" s="120" t="s">
        <v>54</v>
      </c>
      <c r="H81" s="121" t="s">
        <v>52</v>
      </c>
      <c r="I81" s="121" t="s">
        <v>53</v>
      </c>
      <c r="J81" s="119"/>
      <c r="K81" s="121" t="s">
        <v>54</v>
      </c>
      <c r="M81" s="122" t="s">
        <v>52</v>
      </c>
      <c r="N81" s="122" t="s">
        <v>53</v>
      </c>
      <c r="O81" s="119"/>
      <c r="P81" s="122" t="s">
        <v>54</v>
      </c>
    </row>
    <row r="82" spans="1:16" s="38" customFormat="1" ht="15.75" thickBot="1" x14ac:dyDescent="0.3">
      <c r="A82" s="51"/>
      <c r="B82" s="71"/>
      <c r="C82" s="71"/>
      <c r="D82" s="71"/>
      <c r="E82" s="72"/>
      <c r="F82" s="71"/>
      <c r="H82" s="71"/>
      <c r="I82" s="71"/>
      <c r="J82" s="72"/>
      <c r="K82" s="71"/>
      <c r="M82" s="71"/>
      <c r="N82" s="71"/>
      <c r="O82" s="72"/>
      <c r="P82" s="71"/>
    </row>
    <row r="83" spans="1:16" ht="15.75" thickBot="1" x14ac:dyDescent="0.3">
      <c r="B83" s="73" t="s">
        <v>55</v>
      </c>
      <c r="C83" s="74">
        <v>18453.770897240134</v>
      </c>
      <c r="D83" s="75">
        <v>1249.699399905481</v>
      </c>
      <c r="E83" s="76"/>
      <c r="F83" s="77">
        <f>SUM(F84:F85,F87:F91)</f>
        <v>19703.470297145617</v>
      </c>
      <c r="H83" s="74">
        <f>M8</f>
        <v>18285.760237191669</v>
      </c>
      <c r="I83" s="75">
        <f>M32</f>
        <v>953.63250161526389</v>
      </c>
      <c r="J83" s="76"/>
      <c r="K83" s="77">
        <f>SUM(K84:K85,K87:K91)</f>
        <v>19239.392738806931</v>
      </c>
      <c r="M83" s="123">
        <f>IFERROR(C83/H83-1,"")</f>
        <v>9.188059882068611E-3</v>
      </c>
      <c r="N83" s="124">
        <f>IFERROR(D83/I83-1,"")</f>
        <v>0.31046225646539805</v>
      </c>
      <c r="O83" s="125"/>
      <c r="P83" s="126">
        <f>IFERROR(F83/K83-1,"")</f>
        <v>2.4121216539366941E-2</v>
      </c>
    </row>
    <row r="84" spans="1:16" ht="15" x14ac:dyDescent="0.2">
      <c r="B84" s="78" t="s">
        <v>0</v>
      </c>
      <c r="C84" s="79">
        <v>12331.348598206614</v>
      </c>
      <c r="D84" s="80">
        <v>720.60166637480359</v>
      </c>
      <c r="E84" s="81"/>
      <c r="F84" s="82">
        <f>C84+D84</f>
        <v>13051.950264581417</v>
      </c>
      <c r="H84" s="79">
        <f t="shared" ref="H84:H92" si="15">M9</f>
        <v>11836.992653465084</v>
      </c>
      <c r="I84" s="80">
        <f t="shared" ref="I84:I92" si="16">M33</f>
        <v>502.26329726597362</v>
      </c>
      <c r="J84" s="81"/>
      <c r="K84" s="82">
        <f>H84+I84</f>
        <v>12339.255950731058</v>
      </c>
      <c r="M84" s="127">
        <f t="shared" ref="M84:M124" si="17">IFERROR(C84/H84-1,"")</f>
        <v>4.1763643791467242E-2</v>
      </c>
      <c r="N84" s="128">
        <f t="shared" ref="N84:N124" si="18">IFERROR(D84/I84-1,"")</f>
        <v>0.43470898689459458</v>
      </c>
      <c r="O84" s="129"/>
      <c r="P84" s="130">
        <f t="shared" ref="P84:P124" si="19">IFERROR(F84/K84-1,"")</f>
        <v>5.7758289210958047E-2</v>
      </c>
    </row>
    <row r="85" spans="1:16" ht="15" x14ac:dyDescent="0.2">
      <c r="B85" s="83" t="s">
        <v>8</v>
      </c>
      <c r="C85" s="79">
        <v>1853.2079512817406</v>
      </c>
      <c r="D85" s="80">
        <v>103.79536707045233</v>
      </c>
      <c r="E85" s="81"/>
      <c r="F85" s="82">
        <f>C85+D85</f>
        <v>1957.003318352193</v>
      </c>
      <c r="H85" s="79">
        <f t="shared" si="15"/>
        <v>1912.8602126822309</v>
      </c>
      <c r="I85" s="80">
        <f t="shared" si="16"/>
        <v>106.8658666273144</v>
      </c>
      <c r="J85" s="81"/>
      <c r="K85" s="82">
        <f>H85+I85</f>
        <v>2019.7260793095452</v>
      </c>
      <c r="M85" s="127">
        <f t="shared" si="17"/>
        <v>-3.1184851357666798E-2</v>
      </c>
      <c r="N85" s="128">
        <f t="shared" si="18"/>
        <v>-2.8732275831067522E-2</v>
      </c>
      <c r="O85" s="129"/>
      <c r="P85" s="130">
        <f t="shared" si="19"/>
        <v>-3.1055082963920677E-2</v>
      </c>
    </row>
    <row r="86" spans="1:16" ht="15" x14ac:dyDescent="0.2">
      <c r="B86" s="83" t="s">
        <v>9</v>
      </c>
      <c r="C86" s="84">
        <v>4081.5882886602058</v>
      </c>
      <c r="D86" s="85">
        <v>418.91414107409798</v>
      </c>
      <c r="E86" s="81"/>
      <c r="F86" s="86">
        <f>SUM(F87:F90)</f>
        <v>4500.5024297343043</v>
      </c>
      <c r="H86" s="84">
        <f t="shared" si="15"/>
        <v>4315.3954056839075</v>
      </c>
      <c r="I86" s="85">
        <f t="shared" si="16"/>
        <v>335.38323829758139</v>
      </c>
      <c r="J86" s="81"/>
      <c r="K86" s="86">
        <f>SUM(K87:K90)</f>
        <v>4650.778643981489</v>
      </c>
      <c r="M86" s="131">
        <f t="shared" si="17"/>
        <v>-5.4179766868117984E-2</v>
      </c>
      <c r="N86" s="132">
        <f t="shared" si="18"/>
        <v>0.24906105385744004</v>
      </c>
      <c r="O86" s="129"/>
      <c r="P86" s="133">
        <f t="shared" si="19"/>
        <v>-3.2312054765636922E-2</v>
      </c>
    </row>
    <row r="87" spans="1:16" ht="15" x14ac:dyDescent="0.2">
      <c r="B87" s="87" t="s">
        <v>10</v>
      </c>
      <c r="C87" s="88">
        <v>954.49987870898303</v>
      </c>
      <c r="D87" s="89">
        <v>48.270508484180453</v>
      </c>
      <c r="E87" s="81"/>
      <c r="F87" s="90">
        <f t="shared" ref="F87:F91" si="20">C87+D87</f>
        <v>1002.7703871931635</v>
      </c>
      <c r="H87" s="88">
        <f t="shared" si="15"/>
        <v>957.23071712006833</v>
      </c>
      <c r="I87" s="89">
        <f t="shared" si="16"/>
        <v>33.653789663183005</v>
      </c>
      <c r="J87" s="81"/>
      <c r="K87" s="90">
        <f t="shared" ref="K87:K91" si="21">H87+I87</f>
        <v>990.88450678325137</v>
      </c>
      <c r="M87" s="134">
        <f t="shared" si="17"/>
        <v>-2.8528528830554789E-3</v>
      </c>
      <c r="N87" s="135">
        <f t="shared" si="18"/>
        <v>0.43432608830345276</v>
      </c>
      <c r="O87" s="129"/>
      <c r="P87" s="136">
        <f t="shared" si="19"/>
        <v>1.1995222781813197E-2</v>
      </c>
    </row>
    <row r="88" spans="1:16" ht="15" x14ac:dyDescent="0.2">
      <c r="B88" s="87" t="s">
        <v>4</v>
      </c>
      <c r="C88" s="88">
        <v>1805.1815664952949</v>
      </c>
      <c r="D88" s="89">
        <v>230.10676565505736</v>
      </c>
      <c r="E88" s="81"/>
      <c r="F88" s="90">
        <f t="shared" si="20"/>
        <v>2035.2883321503523</v>
      </c>
      <c r="H88" s="88">
        <f t="shared" si="15"/>
        <v>2233.2036778811894</v>
      </c>
      <c r="I88" s="89">
        <f t="shared" si="16"/>
        <v>214.01673222482694</v>
      </c>
      <c r="J88" s="81"/>
      <c r="K88" s="90">
        <f t="shared" si="21"/>
        <v>2447.2204101060165</v>
      </c>
      <c r="M88" s="134">
        <f t="shared" si="17"/>
        <v>-0.1916628185889393</v>
      </c>
      <c r="N88" s="135">
        <f t="shared" si="18"/>
        <v>7.518119383921662E-2</v>
      </c>
      <c r="O88" s="129"/>
      <c r="P88" s="136">
        <f t="shared" si="19"/>
        <v>-0.16832651291013823</v>
      </c>
    </row>
    <row r="89" spans="1:16" s="20" customFormat="1" ht="15" x14ac:dyDescent="0.2">
      <c r="B89" s="87" t="s">
        <v>11</v>
      </c>
      <c r="C89" s="88">
        <v>903.18723248756146</v>
      </c>
      <c r="D89" s="89">
        <v>106.32193698077198</v>
      </c>
      <c r="E89" s="81"/>
      <c r="F89" s="90">
        <f t="shared" si="20"/>
        <v>1009.5091694683334</v>
      </c>
      <c r="G89" s="22"/>
      <c r="H89" s="88">
        <f t="shared" si="15"/>
        <v>826.21848194647885</v>
      </c>
      <c r="I89" s="89">
        <f t="shared" si="16"/>
        <v>79.432009996892887</v>
      </c>
      <c r="J89" s="81"/>
      <c r="K89" s="90">
        <f t="shared" si="21"/>
        <v>905.65049194337178</v>
      </c>
      <c r="L89" s="22"/>
      <c r="M89" s="134">
        <f t="shared" si="17"/>
        <v>9.3157865894929914E-2</v>
      </c>
      <c r="N89" s="135">
        <f t="shared" si="18"/>
        <v>0.33852759089101414</v>
      </c>
      <c r="O89" s="129"/>
      <c r="P89" s="136">
        <f t="shared" si="19"/>
        <v>0.11467854150015278</v>
      </c>
    </row>
    <row r="90" spans="1:16" s="20" customFormat="1" ht="15" x14ac:dyDescent="0.2">
      <c r="B90" s="87" t="s">
        <v>6</v>
      </c>
      <c r="C90" s="88">
        <v>418.71961096836662</v>
      </c>
      <c r="D90" s="89">
        <v>34.214929954088248</v>
      </c>
      <c r="E90" s="81"/>
      <c r="F90" s="90">
        <f t="shared" si="20"/>
        <v>452.93454092245486</v>
      </c>
      <c r="G90" s="22"/>
      <c r="H90" s="88">
        <f t="shared" si="15"/>
        <v>298.7425287361711</v>
      </c>
      <c r="I90" s="89">
        <f t="shared" si="16"/>
        <v>8.2807064126785797</v>
      </c>
      <c r="J90" s="81"/>
      <c r="K90" s="90">
        <f t="shared" si="21"/>
        <v>307.02323514884966</v>
      </c>
      <c r="L90" s="22"/>
      <c r="M90" s="134">
        <f t="shared" si="17"/>
        <v>0.40160697152748237</v>
      </c>
      <c r="N90" s="135">
        <f t="shared" si="18"/>
        <v>3.1318854031223484</v>
      </c>
      <c r="O90" s="129"/>
      <c r="P90" s="136">
        <f t="shared" si="19"/>
        <v>0.47524515759488084</v>
      </c>
    </row>
    <row r="91" spans="1:16" s="20" customFormat="1" ht="15.75" thickBot="1" x14ac:dyDescent="0.25">
      <c r="B91" s="91" t="s">
        <v>12</v>
      </c>
      <c r="C91" s="92">
        <v>187.62605909157199</v>
      </c>
      <c r="D91" s="93">
        <v>6.388225386126873</v>
      </c>
      <c r="E91" s="81"/>
      <c r="F91" s="94">
        <f t="shared" si="20"/>
        <v>194.01428447769885</v>
      </c>
      <c r="G91" s="22"/>
      <c r="H91" s="92">
        <f t="shared" si="15"/>
        <v>220.51196536044708</v>
      </c>
      <c r="I91" s="93">
        <f t="shared" si="16"/>
        <v>9.1200994243944375</v>
      </c>
      <c r="J91" s="81"/>
      <c r="K91" s="94">
        <f t="shared" si="21"/>
        <v>229.6320647848415</v>
      </c>
      <c r="L91" s="22"/>
      <c r="M91" s="137">
        <f t="shared" si="17"/>
        <v>-0.14913433933219933</v>
      </c>
      <c r="N91" s="138">
        <f t="shared" si="18"/>
        <v>-0.29954432634367445</v>
      </c>
      <c r="O91" s="129"/>
      <c r="P91" s="139">
        <f t="shared" si="19"/>
        <v>-0.15510804355879249</v>
      </c>
    </row>
    <row r="92" spans="1:16" s="20" customFormat="1" ht="15.75" thickBot="1" x14ac:dyDescent="0.25">
      <c r="B92" s="95" t="s">
        <v>56</v>
      </c>
      <c r="C92" s="96">
        <v>3638.0439597862187</v>
      </c>
      <c r="D92" s="97">
        <v>2200.1720069720382</v>
      </c>
      <c r="E92" s="76"/>
      <c r="F92" s="77">
        <f>SUM(F93:F107)</f>
        <v>5838.2159667582564</v>
      </c>
      <c r="G92" s="22"/>
      <c r="H92" s="96">
        <f t="shared" si="15"/>
        <v>4081.0139294559481</v>
      </c>
      <c r="I92" s="97">
        <f t="shared" si="16"/>
        <v>1809.5680272841578</v>
      </c>
      <c r="J92" s="76"/>
      <c r="K92" s="77">
        <f>SUM(K93:K107)</f>
        <v>5890.5819567401059</v>
      </c>
      <c r="L92" s="22"/>
      <c r="M92" s="140">
        <f t="shared" si="17"/>
        <v>-0.1085440964737856</v>
      </c>
      <c r="N92" s="141">
        <f t="shared" si="18"/>
        <v>0.21585481938145645</v>
      </c>
      <c r="O92" s="125"/>
      <c r="P92" s="126">
        <f t="shared" si="19"/>
        <v>-8.8897820905337044E-3</v>
      </c>
    </row>
    <row r="93" spans="1:16" s="20" customFormat="1" ht="15" x14ac:dyDescent="0.25">
      <c r="B93" s="98" t="s">
        <v>57</v>
      </c>
      <c r="C93" s="99">
        <v>962.40156284154409</v>
      </c>
      <c r="D93" s="100">
        <v>149.33825113648311</v>
      </c>
      <c r="E93" s="101"/>
      <c r="F93" s="102">
        <f t="shared" ref="F93:F95" si="22">C93+D93</f>
        <v>1111.7398139780271</v>
      </c>
      <c r="G93" s="22"/>
      <c r="H93" s="99">
        <v>976.53230539149149</v>
      </c>
      <c r="I93" s="100">
        <v>220.9464028368395</v>
      </c>
      <c r="J93" s="101"/>
      <c r="K93" s="102">
        <f t="shared" ref="K93:K95" si="23">H93+I93</f>
        <v>1197.478708228331</v>
      </c>
      <c r="L93" s="22"/>
      <c r="M93" s="142">
        <f t="shared" si="17"/>
        <v>-1.4470327783249748E-2</v>
      </c>
      <c r="N93" s="143">
        <f t="shared" si="18"/>
        <v>-0.32409738642921593</v>
      </c>
      <c r="O93" s="144"/>
      <c r="P93" s="145">
        <f t="shared" si="19"/>
        <v>-7.1599514597762259E-2</v>
      </c>
    </row>
    <row r="94" spans="1:16" s="20" customFormat="1" ht="15" x14ac:dyDescent="0.25">
      <c r="B94" s="103" t="s">
        <v>58</v>
      </c>
      <c r="C94" s="99">
        <v>270.55063899862984</v>
      </c>
      <c r="D94" s="100">
        <v>1406.6440310713608</v>
      </c>
      <c r="E94" s="101"/>
      <c r="F94" s="104">
        <f t="shared" si="22"/>
        <v>1677.1946700699907</v>
      </c>
      <c r="G94" s="22"/>
      <c r="H94" s="99">
        <v>349.40773725316404</v>
      </c>
      <c r="I94" s="100">
        <v>973.56904807981061</v>
      </c>
      <c r="J94" s="101"/>
      <c r="K94" s="104">
        <f t="shared" si="23"/>
        <v>1322.9767853329747</v>
      </c>
      <c r="L94" s="22"/>
      <c r="M94" s="142">
        <f t="shared" si="17"/>
        <v>-0.22568789939931455</v>
      </c>
      <c r="N94" s="143">
        <f t="shared" si="18"/>
        <v>0.44483232478036605</v>
      </c>
      <c r="O94" s="144"/>
      <c r="P94" s="146">
        <f t="shared" si="19"/>
        <v>0.26774308412967684</v>
      </c>
    </row>
    <row r="95" spans="1:16" s="20" customFormat="1" ht="15" x14ac:dyDescent="0.25">
      <c r="B95" s="103" t="s">
        <v>59</v>
      </c>
      <c r="C95" s="99">
        <v>83.475056602574355</v>
      </c>
      <c r="D95" s="100">
        <v>47.151921823626246</v>
      </c>
      <c r="E95" s="101"/>
      <c r="F95" s="104">
        <f t="shared" si="22"/>
        <v>130.62697842620059</v>
      </c>
      <c r="G95" s="22"/>
      <c r="H95" s="99">
        <v>123.62951820950985</v>
      </c>
      <c r="I95" s="100">
        <v>36.212205078940187</v>
      </c>
      <c r="J95" s="101"/>
      <c r="K95" s="104">
        <f t="shared" si="23"/>
        <v>159.84172328845005</v>
      </c>
      <c r="L95" s="22"/>
      <c r="M95" s="142">
        <f t="shared" si="17"/>
        <v>-0.32479671674273924</v>
      </c>
      <c r="N95" s="143">
        <f t="shared" si="18"/>
        <v>0.30210026483717867</v>
      </c>
      <c r="O95" s="144"/>
      <c r="P95" s="146">
        <f t="shared" si="19"/>
        <v>-0.1827729597830261</v>
      </c>
    </row>
    <row r="96" spans="1:16" s="20" customFormat="1" ht="15" x14ac:dyDescent="0.25">
      <c r="B96" s="103" t="s">
        <v>60</v>
      </c>
      <c r="C96" s="99">
        <v>176.2685411746231</v>
      </c>
      <c r="D96" s="100">
        <v>18.889114415653996</v>
      </c>
      <c r="E96" s="101"/>
      <c r="F96" s="104">
        <f>C96+D96</f>
        <v>195.1576555902771</v>
      </c>
      <c r="G96" s="22"/>
      <c r="H96" s="99">
        <v>196.53750599418296</v>
      </c>
      <c r="I96" s="100">
        <v>33.684245358136032</v>
      </c>
      <c r="J96" s="101"/>
      <c r="K96" s="104">
        <f>H96+I96</f>
        <v>230.22175135231899</v>
      </c>
      <c r="L96" s="22"/>
      <c r="M96" s="142">
        <f t="shared" si="17"/>
        <v>-0.10313026369714784</v>
      </c>
      <c r="N96" s="143">
        <f t="shared" si="18"/>
        <v>-0.43922999566052168</v>
      </c>
      <c r="O96" s="144"/>
      <c r="P96" s="146">
        <f t="shared" si="19"/>
        <v>-0.15230574676839148</v>
      </c>
    </row>
    <row r="97" spans="2:16" s="20" customFormat="1" ht="15" x14ac:dyDescent="0.25">
      <c r="B97" s="103" t="s">
        <v>61</v>
      </c>
      <c r="C97" s="99">
        <v>329.92733353250151</v>
      </c>
      <c r="D97" s="100">
        <v>48.111680011300471</v>
      </c>
      <c r="E97" s="101"/>
      <c r="F97" s="104">
        <f t="shared" ref="F97:F107" si="24">C97+D97</f>
        <v>378.03901354380196</v>
      </c>
      <c r="G97" s="22"/>
      <c r="H97" s="99">
        <v>369.5336205409169</v>
      </c>
      <c r="I97" s="100">
        <v>66.815809073973185</v>
      </c>
      <c r="J97" s="101"/>
      <c r="K97" s="104">
        <f t="shared" ref="K97:K107" si="25">H97+I97</f>
        <v>436.34942961489008</v>
      </c>
      <c r="L97" s="22"/>
      <c r="M97" s="142">
        <f t="shared" si="17"/>
        <v>-0.10717911661309842</v>
      </c>
      <c r="N97" s="143">
        <f t="shared" si="18"/>
        <v>-0.27993568171815419</v>
      </c>
      <c r="O97" s="144"/>
      <c r="P97" s="146">
        <f t="shared" si="19"/>
        <v>-0.13363238751692941</v>
      </c>
    </row>
    <row r="98" spans="2:16" s="20" customFormat="1" ht="15" x14ac:dyDescent="0.25">
      <c r="B98" s="103" t="s">
        <v>62</v>
      </c>
      <c r="C98" s="99">
        <v>146.48007111849469</v>
      </c>
      <c r="D98" s="100">
        <v>69.656496156855923</v>
      </c>
      <c r="E98" s="101"/>
      <c r="F98" s="104">
        <f t="shared" si="24"/>
        <v>216.13656727535061</v>
      </c>
      <c r="G98" s="22"/>
      <c r="H98" s="99">
        <v>161.7589163696766</v>
      </c>
      <c r="I98" s="100">
        <v>23.495899662316891</v>
      </c>
      <c r="J98" s="101"/>
      <c r="K98" s="104">
        <f t="shared" si="25"/>
        <v>185.2548160319935</v>
      </c>
      <c r="L98" s="22"/>
      <c r="M98" s="142">
        <f t="shared" si="17"/>
        <v>-9.4454423867827542E-2</v>
      </c>
      <c r="N98" s="143">
        <f t="shared" si="18"/>
        <v>1.9646234942249161</v>
      </c>
      <c r="O98" s="144"/>
      <c r="P98" s="146">
        <f t="shared" si="19"/>
        <v>0.16669877687835033</v>
      </c>
    </row>
    <row r="99" spans="2:16" s="20" customFormat="1" ht="15" x14ac:dyDescent="0.25">
      <c r="B99" s="103" t="s">
        <v>63</v>
      </c>
      <c r="C99" s="99">
        <v>143.451616908121</v>
      </c>
      <c r="D99" s="100">
        <v>215.01416121338647</v>
      </c>
      <c r="E99" s="101"/>
      <c r="F99" s="104">
        <f t="shared" si="24"/>
        <v>358.46577812150747</v>
      </c>
      <c r="G99" s="22"/>
      <c r="H99" s="99">
        <v>115.35633595479969</v>
      </c>
      <c r="I99" s="100">
        <v>228.78736929824638</v>
      </c>
      <c r="J99" s="101"/>
      <c r="K99" s="104">
        <f t="shared" si="25"/>
        <v>344.14370525304605</v>
      </c>
      <c r="L99" s="22"/>
      <c r="M99" s="142">
        <f t="shared" si="17"/>
        <v>0.24355212672782822</v>
      </c>
      <c r="N99" s="143">
        <f t="shared" si="18"/>
        <v>-6.0200911121562783E-2</v>
      </c>
      <c r="O99" s="144"/>
      <c r="P99" s="146">
        <f t="shared" si="19"/>
        <v>4.1616547534787829E-2</v>
      </c>
    </row>
    <row r="100" spans="2:16" s="20" customFormat="1" ht="15" x14ac:dyDescent="0.25">
      <c r="B100" s="103" t="s">
        <v>64</v>
      </c>
      <c r="C100" s="99">
        <v>53.930463142694308</v>
      </c>
      <c r="D100" s="100">
        <v>6.4767844527348357</v>
      </c>
      <c r="E100" s="101"/>
      <c r="F100" s="104">
        <f t="shared" si="24"/>
        <v>60.407247595429141</v>
      </c>
      <c r="G100" s="22"/>
      <c r="H100" s="99">
        <v>43.405277606001626</v>
      </c>
      <c r="I100" s="100">
        <v>1.5676521763696893</v>
      </c>
      <c r="J100" s="101"/>
      <c r="K100" s="104">
        <f t="shared" si="25"/>
        <v>44.972929782371317</v>
      </c>
      <c r="L100" s="22"/>
      <c r="M100" s="142">
        <f t="shared" si="17"/>
        <v>0.24248630851372255</v>
      </c>
      <c r="N100" s="143">
        <f t="shared" si="18"/>
        <v>3.1315188090597577</v>
      </c>
      <c r="O100" s="144"/>
      <c r="P100" s="146">
        <f t="shared" si="19"/>
        <v>0.34319129057737818</v>
      </c>
    </row>
    <row r="101" spans="2:16" s="20" customFormat="1" ht="15" x14ac:dyDescent="0.25">
      <c r="B101" s="103" t="s">
        <v>65</v>
      </c>
      <c r="C101" s="99">
        <v>249.51964467865361</v>
      </c>
      <c r="D101" s="100">
        <v>6.9319646521087686</v>
      </c>
      <c r="E101" s="101"/>
      <c r="F101" s="104">
        <f t="shared" si="24"/>
        <v>256.45160933076238</v>
      </c>
      <c r="G101" s="22"/>
      <c r="H101" s="99">
        <v>338.73643678523786</v>
      </c>
      <c r="I101" s="100">
        <v>5.0244719599004322</v>
      </c>
      <c r="J101" s="101"/>
      <c r="K101" s="104">
        <f t="shared" si="25"/>
        <v>343.76090874513829</v>
      </c>
      <c r="L101" s="22"/>
      <c r="M101" s="142">
        <f t="shared" si="17"/>
        <v>-0.26338114952525327</v>
      </c>
      <c r="N101" s="143">
        <f t="shared" si="18"/>
        <v>0.37964042936884779</v>
      </c>
      <c r="O101" s="144"/>
      <c r="P101" s="146">
        <f t="shared" si="19"/>
        <v>-0.25398262918575876</v>
      </c>
    </row>
    <row r="102" spans="2:16" s="20" customFormat="1" ht="15" x14ac:dyDescent="0.25">
      <c r="B102" s="103" t="s">
        <v>66</v>
      </c>
      <c r="C102" s="99">
        <v>0.78351811950725592</v>
      </c>
      <c r="D102" s="100">
        <v>0.96874104880518186</v>
      </c>
      <c r="E102" s="101"/>
      <c r="F102" s="104">
        <f t="shared" si="24"/>
        <v>1.7522591683124378</v>
      </c>
      <c r="G102" s="22"/>
      <c r="H102" s="99">
        <v>0.33722340149535024</v>
      </c>
      <c r="I102" s="100">
        <v>1.6774918299686818</v>
      </c>
      <c r="J102" s="101"/>
      <c r="K102" s="104">
        <f t="shared" si="25"/>
        <v>2.0147152314640322</v>
      </c>
      <c r="L102" s="22"/>
      <c r="M102" s="147">
        <f t="shared" si="17"/>
        <v>1.3234393462402085</v>
      </c>
      <c r="N102" s="148">
        <f t="shared" si="18"/>
        <v>-0.42250624921179625</v>
      </c>
      <c r="O102" s="144"/>
      <c r="P102" s="149">
        <f t="shared" si="19"/>
        <v>-0.13026955822479969</v>
      </c>
    </row>
    <row r="103" spans="2:16" s="20" customFormat="1" ht="15" x14ac:dyDescent="0.25">
      <c r="B103" s="103" t="s">
        <v>67</v>
      </c>
      <c r="C103" s="99">
        <v>2.7362619261286594</v>
      </c>
      <c r="D103" s="100">
        <v>0.27401273968157414</v>
      </c>
      <c r="E103" s="101"/>
      <c r="F103" s="104">
        <f t="shared" si="24"/>
        <v>3.0102746658102335</v>
      </c>
      <c r="G103" s="22"/>
      <c r="H103" s="99">
        <v>2.8350316543162015</v>
      </c>
      <c r="I103" s="100">
        <v>0.44891730812704672</v>
      </c>
      <c r="J103" s="101"/>
      <c r="K103" s="104">
        <f t="shared" si="25"/>
        <v>3.2839489624432483</v>
      </c>
      <c r="L103" s="22"/>
      <c r="M103" s="147">
        <f t="shared" si="17"/>
        <v>-3.4839021298816886E-2</v>
      </c>
      <c r="N103" s="148">
        <f t="shared" si="18"/>
        <v>-0.38961422355311237</v>
      </c>
      <c r="O103" s="144"/>
      <c r="P103" s="149">
        <f t="shared" si="19"/>
        <v>-8.3336951871932241E-2</v>
      </c>
    </row>
    <row r="104" spans="2:16" s="20" customFormat="1" ht="15" x14ac:dyDescent="0.25">
      <c r="B104" s="103" t="s">
        <v>68</v>
      </c>
      <c r="C104" s="99">
        <v>46.746578213996898</v>
      </c>
      <c r="D104" s="100">
        <v>43.084592838532792</v>
      </c>
      <c r="E104" s="101"/>
      <c r="F104" s="104">
        <f t="shared" si="24"/>
        <v>89.831171052529697</v>
      </c>
      <c r="G104" s="22"/>
      <c r="H104" s="99">
        <v>71.88082372251003</v>
      </c>
      <c r="I104" s="100">
        <v>48.347008924678782</v>
      </c>
      <c r="J104" s="101"/>
      <c r="K104" s="104">
        <f t="shared" si="25"/>
        <v>120.22783264718882</v>
      </c>
      <c r="L104" s="22"/>
      <c r="M104" s="147">
        <f t="shared" si="17"/>
        <v>-0.34966551865824191</v>
      </c>
      <c r="N104" s="148">
        <f t="shared" si="18"/>
        <v>-0.10884677673327137</v>
      </c>
      <c r="O104" s="144"/>
      <c r="P104" s="149">
        <f t="shared" si="19"/>
        <v>-0.2528254974358457</v>
      </c>
    </row>
    <row r="105" spans="2:16" s="20" customFormat="1" ht="15" x14ac:dyDescent="0.25">
      <c r="B105" s="103" t="s">
        <v>69</v>
      </c>
      <c r="C105" s="99">
        <v>7.3302322253983559E-2</v>
      </c>
      <c r="D105" s="100">
        <v>0</v>
      </c>
      <c r="E105" s="101"/>
      <c r="F105" s="104">
        <f t="shared" si="24"/>
        <v>7.3302322253983559E-2</v>
      </c>
      <c r="G105" s="22"/>
      <c r="H105" s="99">
        <v>0</v>
      </c>
      <c r="I105" s="100">
        <v>0</v>
      </c>
      <c r="J105" s="101"/>
      <c r="K105" s="104">
        <f t="shared" si="25"/>
        <v>0</v>
      </c>
      <c r="L105" s="22"/>
      <c r="M105" s="147" t="str">
        <f t="shared" si="17"/>
        <v/>
      </c>
      <c r="N105" s="148" t="str">
        <f t="shared" si="18"/>
        <v/>
      </c>
      <c r="O105" s="144"/>
      <c r="P105" s="149" t="str">
        <f t="shared" si="19"/>
        <v/>
      </c>
    </row>
    <row r="106" spans="2:16" s="20" customFormat="1" ht="15" x14ac:dyDescent="0.25">
      <c r="B106" s="103" t="s">
        <v>70</v>
      </c>
      <c r="C106" s="99">
        <v>6.4390241513078408</v>
      </c>
      <c r="D106" s="100">
        <v>3.9237168831348082E-3</v>
      </c>
      <c r="E106" s="101"/>
      <c r="F106" s="104">
        <f t="shared" si="24"/>
        <v>6.4429478681909753</v>
      </c>
      <c r="G106" s="22"/>
      <c r="H106" s="99">
        <v>2.3498543984096578</v>
      </c>
      <c r="I106" s="100">
        <v>1.479149839118131</v>
      </c>
      <c r="J106" s="101"/>
      <c r="K106" s="104">
        <f t="shared" si="25"/>
        <v>3.8290042375277888</v>
      </c>
      <c r="L106" s="22"/>
      <c r="M106" s="147">
        <f t="shared" si="17"/>
        <v>1.7401800535665806</v>
      </c>
      <c r="N106" s="148">
        <f t="shared" si="18"/>
        <v>-0.99734731615461347</v>
      </c>
      <c r="O106" s="144"/>
      <c r="P106" s="149">
        <f t="shared" si="19"/>
        <v>0.68266929690077571</v>
      </c>
    </row>
    <row r="107" spans="2:16" s="20" customFormat="1" ht="15.75" thickBot="1" x14ac:dyDescent="0.3">
      <c r="B107" s="105" t="s">
        <v>13</v>
      </c>
      <c r="C107" s="99">
        <f>C92-SUM(C93:C106)</f>
        <v>1165.2603460551877</v>
      </c>
      <c r="D107" s="99">
        <f>D92-SUM(D93:D106)</f>
        <v>187.62633169462492</v>
      </c>
      <c r="E107" s="101"/>
      <c r="F107" s="104">
        <f t="shared" si="24"/>
        <v>1352.8866777498126</v>
      </c>
      <c r="G107" s="22"/>
      <c r="H107" s="99">
        <f>H92-SUM(H93:H106)</f>
        <v>1328.713342174236</v>
      </c>
      <c r="I107" s="99">
        <f>I92-SUM(I93:I106)</f>
        <v>167.5123558577327</v>
      </c>
      <c r="J107" s="101"/>
      <c r="K107" s="104">
        <f t="shared" si="25"/>
        <v>1496.2256980319687</v>
      </c>
      <c r="L107" s="22"/>
      <c r="M107" s="142">
        <f t="shared" si="17"/>
        <v>-0.12301599670217989</v>
      </c>
      <c r="N107" s="142">
        <f t="shared" si="18"/>
        <v>0.12007458037289442</v>
      </c>
      <c r="O107" s="144"/>
      <c r="P107" s="146">
        <f t="shared" si="19"/>
        <v>-9.5800399946809001E-2</v>
      </c>
    </row>
    <row r="108" spans="2:16" s="20" customFormat="1" ht="15.75" thickBot="1" x14ac:dyDescent="0.3">
      <c r="B108" s="73" t="s">
        <v>7</v>
      </c>
      <c r="C108" s="106">
        <v>225.58193473798104</v>
      </c>
      <c r="D108" s="97">
        <v>39.685968425501272</v>
      </c>
      <c r="E108" s="76"/>
      <c r="F108" s="77">
        <f>SUM(F109:F111)</f>
        <v>265.26790316348229</v>
      </c>
      <c r="G108" s="22"/>
      <c r="H108" s="106">
        <v>173.45318043394064</v>
      </c>
      <c r="I108" s="97">
        <v>35.03856808768365</v>
      </c>
      <c r="J108" s="76"/>
      <c r="K108" s="77">
        <f>SUM(K109:K111)</f>
        <v>208.49174852162417</v>
      </c>
      <c r="L108" s="22"/>
      <c r="M108" s="150">
        <f t="shared" si="17"/>
        <v>0.3005350156948754</v>
      </c>
      <c r="N108" s="141">
        <f t="shared" si="18"/>
        <v>0.13263670838909714</v>
      </c>
      <c r="O108" s="125"/>
      <c r="P108" s="126">
        <f t="shared" si="19"/>
        <v>0.27231847324628999</v>
      </c>
    </row>
    <row r="109" spans="2:16" s="20" customFormat="1" ht="15" x14ac:dyDescent="0.25">
      <c r="B109" s="98" t="s">
        <v>71</v>
      </c>
      <c r="C109" s="107">
        <v>180.28744158448899</v>
      </c>
      <c r="D109" s="108">
        <v>31.942352190271574</v>
      </c>
      <c r="E109" s="101"/>
      <c r="F109" s="104">
        <f t="shared" ref="F109:F116" si="26">C109+D109</f>
        <v>212.22979377476057</v>
      </c>
      <c r="G109" s="22"/>
      <c r="H109" s="107">
        <v>128.72447588666742</v>
      </c>
      <c r="I109" s="108">
        <v>23.98817332761632</v>
      </c>
      <c r="J109" s="101"/>
      <c r="K109" s="104">
        <f t="shared" ref="K109:K111" si="27">H109+I109</f>
        <v>152.71264921428374</v>
      </c>
      <c r="L109" s="22"/>
      <c r="M109" s="151">
        <f t="shared" si="17"/>
        <v>0.40056846487546793</v>
      </c>
      <c r="N109" s="152">
        <f t="shared" si="18"/>
        <v>0.3315875183167043</v>
      </c>
      <c r="O109" s="144"/>
      <c r="P109" s="146">
        <f t="shared" si="19"/>
        <v>0.38973290599499322</v>
      </c>
    </row>
    <row r="110" spans="2:16" s="20" customFormat="1" ht="15" x14ac:dyDescent="0.25">
      <c r="B110" s="103" t="s">
        <v>72</v>
      </c>
      <c r="C110" s="107">
        <v>16.729339992648057</v>
      </c>
      <c r="D110" s="108">
        <v>6.7128609273883342</v>
      </c>
      <c r="E110" s="101"/>
      <c r="F110" s="104">
        <f t="shared" si="26"/>
        <v>23.442200920036392</v>
      </c>
      <c r="G110" s="22"/>
      <c r="H110" s="107">
        <v>10.047638249652055</v>
      </c>
      <c r="I110" s="108">
        <v>9.4385966290990826</v>
      </c>
      <c r="J110" s="101"/>
      <c r="K110" s="104">
        <f t="shared" si="27"/>
        <v>19.486234878751137</v>
      </c>
      <c r="L110" s="22"/>
      <c r="M110" s="151">
        <f t="shared" si="17"/>
        <v>0.66500222012146848</v>
      </c>
      <c r="N110" s="152">
        <f t="shared" si="18"/>
        <v>-0.28878612031234996</v>
      </c>
      <c r="O110" s="144"/>
      <c r="P110" s="146">
        <f t="shared" si="19"/>
        <v>0.20301336127273406</v>
      </c>
    </row>
    <row r="111" spans="2:16" s="20" customFormat="1" ht="15.75" thickBot="1" x14ac:dyDescent="0.3">
      <c r="B111" s="105" t="s">
        <v>73</v>
      </c>
      <c r="C111" s="107">
        <v>28.565153160844002</v>
      </c>
      <c r="D111" s="108">
        <v>1.0307553078413636</v>
      </c>
      <c r="E111" s="101"/>
      <c r="F111" s="104">
        <f t="shared" si="26"/>
        <v>29.595908468685366</v>
      </c>
      <c r="G111" s="22"/>
      <c r="H111" s="107">
        <v>34.681066297621037</v>
      </c>
      <c r="I111" s="108">
        <v>1.6117981309682454</v>
      </c>
      <c r="J111" s="101"/>
      <c r="K111" s="104">
        <f t="shared" si="27"/>
        <v>36.292864428589283</v>
      </c>
      <c r="L111" s="22"/>
      <c r="M111" s="151">
        <f t="shared" si="17"/>
        <v>-0.17634732116632057</v>
      </c>
      <c r="N111" s="152">
        <f t="shared" si="18"/>
        <v>-0.36049354566370884</v>
      </c>
      <c r="O111" s="144"/>
      <c r="P111" s="146">
        <f t="shared" si="19"/>
        <v>-0.18452541747100204</v>
      </c>
    </row>
    <row r="112" spans="2:16" s="20" customFormat="1" ht="15.75" thickBot="1" x14ac:dyDescent="0.3">
      <c r="B112" s="73" t="s">
        <v>74</v>
      </c>
      <c r="C112" s="106">
        <v>263.87137691723223</v>
      </c>
      <c r="D112" s="109">
        <v>24.421165098273889</v>
      </c>
      <c r="E112" s="110"/>
      <c r="F112" s="111">
        <f>SUM(F113:F115)</f>
        <v>288.29254201550611</v>
      </c>
      <c r="G112" s="22"/>
      <c r="H112" s="106">
        <v>283.53174390919253</v>
      </c>
      <c r="I112" s="109">
        <v>26.733766752841248</v>
      </c>
      <c r="J112" s="110"/>
      <c r="K112" s="111">
        <f>SUM(K113:K115)</f>
        <v>310.26551066203376</v>
      </c>
      <c r="L112" s="22"/>
      <c r="M112" s="150">
        <f t="shared" si="17"/>
        <v>-6.9340972974994197E-2</v>
      </c>
      <c r="N112" s="153">
        <f t="shared" si="18"/>
        <v>-8.6504893827637597E-2</v>
      </c>
      <c r="O112" s="154"/>
      <c r="P112" s="155">
        <f t="shared" si="19"/>
        <v>-7.0819887778188706E-2</v>
      </c>
    </row>
    <row r="113" spans="2:16" s="20" customFormat="1" ht="15" x14ac:dyDescent="0.25">
      <c r="B113" s="98" t="s">
        <v>75</v>
      </c>
      <c r="C113" s="107">
        <v>41.583568213646799</v>
      </c>
      <c r="D113" s="108">
        <v>6.6058699070599816E-2</v>
      </c>
      <c r="E113" s="101"/>
      <c r="F113" s="104">
        <f t="shared" si="26"/>
        <v>41.649626912717402</v>
      </c>
      <c r="G113" s="22"/>
      <c r="H113" s="107">
        <v>155.56083766049602</v>
      </c>
      <c r="I113" s="108">
        <v>0</v>
      </c>
      <c r="J113" s="101"/>
      <c r="K113" s="104">
        <f t="shared" ref="K113:K116" si="28">H113+I113</f>
        <v>155.56083766049602</v>
      </c>
      <c r="L113" s="22"/>
      <c r="M113" s="151">
        <f t="shared" si="17"/>
        <v>-0.73268613849713948</v>
      </c>
      <c r="N113" s="152" t="str">
        <f t="shared" si="18"/>
        <v/>
      </c>
      <c r="O113" s="144"/>
      <c r="P113" s="146">
        <f t="shared" si="19"/>
        <v>-0.73226148985122019</v>
      </c>
    </row>
    <row r="114" spans="2:16" s="20" customFormat="1" ht="15" x14ac:dyDescent="0.25">
      <c r="B114" s="103" t="s">
        <v>76</v>
      </c>
      <c r="C114" s="107">
        <v>61.938786316241803</v>
      </c>
      <c r="D114" s="108">
        <v>8.6998939321130067</v>
      </c>
      <c r="E114" s="101"/>
      <c r="F114" s="104">
        <f t="shared" si="26"/>
        <v>70.638680248354802</v>
      </c>
      <c r="G114" s="22"/>
      <c r="H114" s="107">
        <v>44.45902251534428</v>
      </c>
      <c r="I114" s="108">
        <v>9.7083110374127255</v>
      </c>
      <c r="J114" s="101"/>
      <c r="K114" s="104">
        <f t="shared" si="28"/>
        <v>54.167333552757007</v>
      </c>
      <c r="L114" s="22"/>
      <c r="M114" s="151">
        <f t="shared" si="17"/>
        <v>0.3931657245695106</v>
      </c>
      <c r="N114" s="152">
        <f t="shared" si="18"/>
        <v>-0.10387152836508862</v>
      </c>
      <c r="O114" s="144"/>
      <c r="P114" s="146">
        <f t="shared" si="19"/>
        <v>0.30408265674652979</v>
      </c>
    </row>
    <row r="115" spans="2:16" s="20" customFormat="1" ht="15.75" thickBot="1" x14ac:dyDescent="0.3">
      <c r="B115" s="105" t="s">
        <v>77</v>
      </c>
      <c r="C115" s="107">
        <v>160.34902238734361</v>
      </c>
      <c r="D115" s="108">
        <v>15.655212467090282</v>
      </c>
      <c r="E115" s="101"/>
      <c r="F115" s="104">
        <f t="shared" si="26"/>
        <v>176.00423485443389</v>
      </c>
      <c r="G115" s="22"/>
      <c r="H115" s="107">
        <v>83.511883733352235</v>
      </c>
      <c r="I115" s="108">
        <v>17.025455715428524</v>
      </c>
      <c r="J115" s="101"/>
      <c r="K115" s="104">
        <f t="shared" si="28"/>
        <v>100.53733944878076</v>
      </c>
      <c r="L115" s="22"/>
      <c r="M115" s="151">
        <f t="shared" si="17"/>
        <v>0.92007430821854208</v>
      </c>
      <c r="N115" s="152">
        <f t="shared" si="18"/>
        <v>-8.0482030627616274E-2</v>
      </c>
      <c r="O115" s="144"/>
      <c r="P115" s="146">
        <f t="shared" si="19"/>
        <v>0.75063549343376157</v>
      </c>
    </row>
    <row r="116" spans="2:16" s="20" customFormat="1" ht="15.75" thickBot="1" x14ac:dyDescent="0.3">
      <c r="B116" s="73" t="s">
        <v>78</v>
      </c>
      <c r="C116" s="106">
        <v>101.48344686247539</v>
      </c>
      <c r="D116" s="109">
        <v>12.838593980787779</v>
      </c>
      <c r="E116" s="110"/>
      <c r="F116" s="111">
        <f t="shared" si="26"/>
        <v>114.32204084326317</v>
      </c>
      <c r="G116" s="22"/>
      <c r="H116" s="106">
        <v>111.12099391783011</v>
      </c>
      <c r="I116" s="109">
        <v>12.944710149614719</v>
      </c>
      <c r="J116" s="110"/>
      <c r="K116" s="111">
        <f t="shared" si="28"/>
        <v>124.06570406744483</v>
      </c>
      <c r="L116" s="22"/>
      <c r="M116" s="150">
        <f t="shared" si="17"/>
        <v>-8.6730209257139368E-2</v>
      </c>
      <c r="N116" s="153">
        <f t="shared" si="18"/>
        <v>-8.1976473478704293E-3</v>
      </c>
      <c r="O116" s="154"/>
      <c r="P116" s="155">
        <f t="shared" si="19"/>
        <v>-7.8536315071285112E-2</v>
      </c>
    </row>
    <row r="117" spans="2:16" s="20" customFormat="1" ht="15.75" thickBot="1" x14ac:dyDescent="0.3">
      <c r="B117" s="73" t="s">
        <v>79</v>
      </c>
      <c r="C117" s="106">
        <v>22682.751615544043</v>
      </c>
      <c r="D117" s="109">
        <v>3526.8171343820823</v>
      </c>
      <c r="E117" s="110"/>
      <c r="F117" s="111">
        <f>SUM(F116,F112,F108,F92,F83)</f>
        <v>26209.568749926126</v>
      </c>
      <c r="G117" s="22"/>
      <c r="H117" s="106">
        <f>H116+H112+H108+H92+H83</f>
        <v>22934.880084908582</v>
      </c>
      <c r="I117" s="106">
        <f>I116+I112+I108+I92+I83</f>
        <v>2837.917573889561</v>
      </c>
      <c r="J117" s="110"/>
      <c r="K117" s="111">
        <f>SUM(K116,K112,K108,K92,K83)</f>
        <v>25772.797658798139</v>
      </c>
      <c r="L117" s="22"/>
      <c r="M117" s="150">
        <f t="shared" si="17"/>
        <v>-1.0993232510094653E-2</v>
      </c>
      <c r="N117" s="153">
        <f t="shared" si="18"/>
        <v>0.24274826261015647</v>
      </c>
      <c r="O117" s="154"/>
      <c r="P117" s="155">
        <f t="shared" si="19"/>
        <v>1.6946980180821969E-2</v>
      </c>
    </row>
    <row r="118" spans="2:16" s="20" customFormat="1" ht="15.75" thickBot="1" x14ac:dyDescent="0.3">
      <c r="B118" s="73" t="s">
        <v>80</v>
      </c>
      <c r="C118" s="106">
        <v>118.40734862222222</v>
      </c>
      <c r="D118" s="109">
        <v>14.094729766538167</v>
      </c>
      <c r="E118" s="110"/>
      <c r="F118" s="111">
        <f>SUM(F119:F123)</f>
        <v>132.50207838876042</v>
      </c>
      <c r="G118" s="22"/>
      <c r="H118" s="106">
        <v>212.72558817777775</v>
      </c>
      <c r="I118" s="109">
        <v>6.7137936432812815</v>
      </c>
      <c r="J118" s="110"/>
      <c r="K118" s="111">
        <f>SUM(K119:K123)</f>
        <v>219.43938182105904</v>
      </c>
      <c r="L118" s="22"/>
      <c r="M118" s="150">
        <f t="shared" si="17"/>
        <v>-0.44337985083737297</v>
      </c>
      <c r="N118" s="153">
        <f t="shared" si="18"/>
        <v>1.0993689284214501</v>
      </c>
      <c r="O118" s="154"/>
      <c r="P118" s="155">
        <f t="shared" si="19"/>
        <v>-0.39617913024924256</v>
      </c>
    </row>
    <row r="119" spans="2:16" s="20" customFormat="1" ht="15" x14ac:dyDescent="0.25">
      <c r="B119" s="98" t="s">
        <v>81</v>
      </c>
      <c r="C119" s="112"/>
      <c r="D119" s="113"/>
      <c r="E119" s="101"/>
      <c r="F119" s="102">
        <v>12.976014828342596</v>
      </c>
      <c r="G119" s="22"/>
      <c r="H119" s="112"/>
      <c r="I119" s="113"/>
      <c r="J119" s="101"/>
      <c r="K119" s="102">
        <v>9.5654101003671865</v>
      </c>
      <c r="L119" s="22"/>
      <c r="M119" s="156" t="str">
        <f t="shared" si="17"/>
        <v/>
      </c>
      <c r="N119" s="157" t="str">
        <f t="shared" si="18"/>
        <v/>
      </c>
      <c r="O119" s="144"/>
      <c r="P119" s="145">
        <f t="shared" si="19"/>
        <v>0.3565560380777073</v>
      </c>
    </row>
    <row r="120" spans="2:16" s="20" customFormat="1" ht="15" x14ac:dyDescent="0.25">
      <c r="B120" s="103" t="s">
        <v>82</v>
      </c>
      <c r="C120" s="114"/>
      <c r="D120" s="115"/>
      <c r="E120" s="116"/>
      <c r="F120" s="102">
        <v>99.115571723741496</v>
      </c>
      <c r="G120" s="22"/>
      <c r="H120" s="114"/>
      <c r="I120" s="115"/>
      <c r="J120" s="116"/>
      <c r="K120" s="102">
        <v>174.10698370726513</v>
      </c>
      <c r="L120" s="22"/>
      <c r="M120" s="158" t="str">
        <f t="shared" si="17"/>
        <v/>
      </c>
      <c r="N120" s="159" t="str">
        <f t="shared" si="18"/>
        <v/>
      </c>
      <c r="O120" s="160"/>
      <c r="P120" s="145">
        <f t="shared" si="19"/>
        <v>-0.43072029844368842</v>
      </c>
    </row>
    <row r="121" spans="2:16" s="20" customFormat="1" ht="15" x14ac:dyDescent="0.25">
      <c r="B121" s="103" t="s">
        <v>83</v>
      </c>
      <c r="C121" s="114"/>
      <c r="D121" s="115"/>
      <c r="E121" s="116"/>
      <c r="F121" s="102">
        <v>2.24421783233876</v>
      </c>
      <c r="G121" s="22"/>
      <c r="H121" s="114"/>
      <c r="I121" s="115"/>
      <c r="J121" s="116"/>
      <c r="K121" s="102">
        <v>28.618263338938483</v>
      </c>
      <c r="L121" s="22"/>
      <c r="M121" s="158" t="str">
        <f t="shared" si="17"/>
        <v/>
      </c>
      <c r="N121" s="159" t="str">
        <f t="shared" si="18"/>
        <v/>
      </c>
      <c r="O121" s="160"/>
      <c r="P121" s="145">
        <f t="shared" si="19"/>
        <v>-0.92158092174359019</v>
      </c>
    </row>
    <row r="122" spans="2:16" s="20" customFormat="1" ht="15" x14ac:dyDescent="0.25">
      <c r="B122" s="103" t="s">
        <v>84</v>
      </c>
      <c r="C122" s="114"/>
      <c r="D122" s="115"/>
      <c r="E122" s="116"/>
      <c r="F122" s="102">
        <v>0</v>
      </c>
      <c r="G122" s="22"/>
      <c r="H122" s="114"/>
      <c r="I122" s="115"/>
      <c r="J122" s="116"/>
      <c r="K122" s="102">
        <v>0</v>
      </c>
      <c r="L122" s="22"/>
      <c r="M122" s="158" t="str">
        <f t="shared" si="17"/>
        <v/>
      </c>
      <c r="N122" s="159" t="str">
        <f t="shared" si="18"/>
        <v/>
      </c>
      <c r="O122" s="160"/>
      <c r="P122" s="145" t="str">
        <f t="shared" si="19"/>
        <v/>
      </c>
    </row>
    <row r="123" spans="2:16" s="20" customFormat="1" ht="15.75" thickBot="1" x14ac:dyDescent="0.3">
      <c r="B123" s="105" t="s">
        <v>12</v>
      </c>
      <c r="C123" s="117"/>
      <c r="D123" s="118"/>
      <c r="E123" s="116"/>
      <c r="F123" s="102">
        <v>18.166274004337556</v>
      </c>
      <c r="G123" s="22"/>
      <c r="H123" s="117"/>
      <c r="I123" s="118"/>
      <c r="J123" s="116"/>
      <c r="K123" s="102">
        <v>7.1487246744882524</v>
      </c>
      <c r="L123" s="22"/>
      <c r="M123" s="161" t="str">
        <f t="shared" si="17"/>
        <v/>
      </c>
      <c r="N123" s="162" t="str">
        <f t="shared" si="18"/>
        <v/>
      </c>
      <c r="O123" s="160"/>
      <c r="P123" s="145">
        <f t="shared" si="19"/>
        <v>1.5411908880989329</v>
      </c>
    </row>
    <row r="124" spans="2:16" s="20" customFormat="1" ht="15.75" thickBot="1" x14ac:dyDescent="0.3">
      <c r="B124" s="73" t="s">
        <v>85</v>
      </c>
      <c r="C124" s="106">
        <v>22801.158964166265</v>
      </c>
      <c r="D124" s="109">
        <v>3540.9118641486202</v>
      </c>
      <c r="E124" s="110"/>
      <c r="F124" s="111">
        <f>F118+F117</f>
        <v>26342.070828314885</v>
      </c>
      <c r="G124" s="22"/>
      <c r="H124" s="106">
        <f>H117+H118</f>
        <v>23147.60567308636</v>
      </c>
      <c r="I124" s="106">
        <f>I117+I118</f>
        <v>2844.6313675328424</v>
      </c>
      <c r="J124" s="110"/>
      <c r="K124" s="106">
        <f>K117+K118</f>
        <v>25992.237040619199</v>
      </c>
      <c r="L124" s="22"/>
      <c r="M124" s="150">
        <f t="shared" si="17"/>
        <v>-1.4966848572287028E-2</v>
      </c>
      <c r="N124" s="153">
        <f t="shared" si="18"/>
        <v>0.24477002699286965</v>
      </c>
      <c r="O124" s="154"/>
      <c r="P124" s="155">
        <f t="shared" si="19"/>
        <v>1.3459164255426925E-2</v>
      </c>
    </row>
  </sheetData>
  <mergeCells count="12">
    <mergeCell ref="C79:F79"/>
    <mergeCell ref="H79:K79"/>
    <mergeCell ref="M79:P79"/>
    <mergeCell ref="C5:F5"/>
    <mergeCell ref="C30:F30"/>
    <mergeCell ref="C55:F55"/>
    <mergeCell ref="M5:P5"/>
    <mergeCell ref="M30:P30"/>
    <mergeCell ref="M55:P55"/>
    <mergeCell ref="H55:K55"/>
    <mergeCell ref="H5:K5"/>
    <mergeCell ref="H30:K30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CFA4957A-5FDB-4E9E-B7CB-DB2CAA36E30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summary_03 2025</vt:lpstr>
      <vt:lpstr>szacunek rynku_03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2025-04-25T15:02:18Z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