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5-2025\"/>
    </mc:Choice>
  </mc:AlternateContent>
  <xr:revisionPtr revIDLastSave="0" documentId="8_{491C7586-AD96-4CE1-B411-C23356AB97F9}" xr6:coauthVersionLast="47" xr6:coauthVersionMax="47" xr10:uidLastSave="{00000000-0000-0000-0000-000000000000}"/>
  <bookViews>
    <workbookView xWindow="22932" yWindow="-108" windowWidth="23256" windowHeight="12456" activeTab="1" xr2:uid="{71ECBEB2-2687-4063-A597-2A60A7860EDA}"/>
  </bookViews>
  <sheets>
    <sheet name="summary_05 2025" sheetId="4" r:id="rId1"/>
    <sheet name="szacunek rynku_05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3" l="1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N53" i="3"/>
  <c r="M53" i="3"/>
  <c r="N52" i="3"/>
  <c r="M52" i="3"/>
  <c r="N51" i="3"/>
  <c r="M51" i="3"/>
  <c r="N50" i="3"/>
  <c r="M50" i="3"/>
  <c r="N49" i="3"/>
  <c r="M49" i="3"/>
  <c r="N48" i="3"/>
  <c r="N47" i="3" s="1"/>
  <c r="M48" i="3"/>
  <c r="N46" i="3"/>
  <c r="M46" i="3"/>
  <c r="N45" i="3"/>
  <c r="M45" i="3"/>
  <c r="M38" i="3" s="1"/>
  <c r="M55" i="3" s="1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N74" i="3" s="1"/>
  <c r="M75" i="3"/>
  <c r="M74" i="3" s="1"/>
  <c r="N73" i="3"/>
  <c r="M73" i="3"/>
  <c r="N72" i="3"/>
  <c r="M72" i="3"/>
  <c r="N71" i="3"/>
  <c r="M71" i="3"/>
  <c r="N70" i="3"/>
  <c r="M70" i="3"/>
  <c r="N69" i="3"/>
  <c r="M69" i="3"/>
  <c r="M68" i="3" s="1"/>
  <c r="N67" i="3"/>
  <c r="M67" i="3"/>
  <c r="N66" i="3"/>
  <c r="M66" i="3"/>
  <c r="D25" i="3"/>
  <c r="N25" i="3" s="1"/>
  <c r="C25" i="3"/>
  <c r="M25" i="3" s="1"/>
  <c r="D24" i="3"/>
  <c r="N24" i="3" s="1"/>
  <c r="C24" i="3"/>
  <c r="M24" i="3" s="1"/>
  <c r="D23" i="3"/>
  <c r="N23" i="3" s="1"/>
  <c r="C23" i="3"/>
  <c r="D22" i="3"/>
  <c r="C22" i="3"/>
  <c r="M22" i="3" s="1"/>
  <c r="D21" i="3"/>
  <c r="C21" i="3"/>
  <c r="D20" i="3"/>
  <c r="N20" i="3" s="1"/>
  <c r="C20" i="3"/>
  <c r="D19" i="3"/>
  <c r="C19" i="3"/>
  <c r="D18" i="3"/>
  <c r="N18" i="3" s="1"/>
  <c r="C18" i="3"/>
  <c r="M18" i="3" s="1"/>
  <c r="D17" i="3"/>
  <c r="C17" i="3"/>
  <c r="D16" i="3"/>
  <c r="C16" i="3"/>
  <c r="D15" i="3"/>
  <c r="C15" i="3"/>
  <c r="D14" i="3"/>
  <c r="C14" i="3"/>
  <c r="D13" i="3"/>
  <c r="C13" i="3"/>
  <c r="D12" i="3"/>
  <c r="N12" i="3" s="1"/>
  <c r="C12" i="3"/>
  <c r="M12" i="3" s="1"/>
  <c r="D11" i="3"/>
  <c r="C11" i="3"/>
  <c r="D10" i="3"/>
  <c r="C10" i="3"/>
  <c r="I27" i="3" l="1"/>
  <c r="M14" i="3"/>
  <c r="N22" i="3"/>
  <c r="N68" i="3"/>
  <c r="M20" i="3"/>
  <c r="M23" i="3"/>
  <c r="H27" i="3"/>
  <c r="M21" i="3"/>
  <c r="M15" i="3"/>
  <c r="M16" i="3"/>
  <c r="N14" i="3"/>
  <c r="D27" i="3"/>
  <c r="C27" i="3"/>
  <c r="N15" i="3"/>
  <c r="N21" i="3"/>
  <c r="N19" i="3" s="1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M19" i="3" l="1"/>
  <c r="M10" i="3"/>
  <c r="M27" i="3" s="1"/>
  <c r="M13" i="3"/>
  <c r="N10" i="3"/>
  <c r="N27" i="3" s="1"/>
  <c r="N13" i="3"/>
  <c r="M7" i="3"/>
  <c r="M63" i="3"/>
  <c r="K16" i="4" l="1"/>
  <c r="K15" i="4"/>
  <c r="K14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C63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D64" i="3"/>
  <c r="C64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1" i="4" l="1"/>
  <c r="N116" i="4"/>
  <c r="N115" i="4"/>
  <c r="N114" i="4"/>
  <c r="N113" i="4"/>
  <c r="N112" i="4"/>
  <c r="J112" i="4"/>
  <c r="J16" i="4"/>
  <c r="J15" i="4"/>
  <c r="J14" i="4"/>
  <c r="N80" i="4"/>
  <c r="N79" i="4"/>
  <c r="N78" i="4"/>
  <c r="J78" i="4"/>
  <c r="N47" i="4"/>
  <c r="N46" i="4"/>
  <c r="N45" i="4"/>
  <c r="N44" i="4"/>
  <c r="J44" i="4"/>
  <c r="J45" i="4" s="1"/>
  <c r="N11" i="4"/>
  <c r="N12" i="4" s="1"/>
  <c r="K48" i="3" l="1"/>
  <c r="K49" i="3"/>
  <c r="K50" i="3"/>
  <c r="K75" i="3"/>
  <c r="K76" i="3"/>
  <c r="K77" i="3"/>
  <c r="K78" i="3"/>
  <c r="K20" i="3"/>
  <c r="K21" i="3"/>
  <c r="K22" i="3"/>
  <c r="J113" i="4"/>
  <c r="J79" i="4"/>
  <c r="J12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H7" i="3"/>
  <c r="K80" i="3"/>
  <c r="K79" i="3"/>
  <c r="K74" i="3"/>
  <c r="K73" i="3"/>
  <c r="K72" i="3"/>
  <c r="K71" i="3"/>
  <c r="K70" i="3"/>
  <c r="K69" i="3"/>
  <c r="K68" i="3"/>
  <c r="K67" i="3"/>
  <c r="K66" i="3"/>
  <c r="K64" i="3"/>
  <c r="I64" i="3"/>
  <c r="H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<sst xmlns="http://schemas.openxmlformats.org/spreadsheetml/2006/main" count="108" uniqueCount="53">
  <si>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</si>
  <si>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</si>
  <si>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</si>
  <si>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</si>
  <si>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</si>
  <si>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</si>
  <si>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</si>
  <si>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</si>
  <si>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</si>
  <si>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</si>
  <si>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</si>
  <si>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</si>
  <si>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</si>
  <si>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</si>
  <si>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</si>
  <si>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</si>
  <si>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</si>
  <si>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</si>
  <si>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</si>
  <si>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</si>
  <si>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</si>
  <si>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</si>
  <si>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</si>
  <si>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</si>
  <si>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</si>
  <si>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</si>
  <si>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</si>
  <si>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</si>
  <si>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</si>
  <si>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</si>
  <si>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</si>
  <si>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</si>
  <si>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</si>
  <si>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</si>
  <si>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</si>
  <si>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04 2025</t>
  </si>
  <si>
    <t>04/2025</t>
  </si>
  <si>
    <t>I-IV 2025 vs I-IV 2024</t>
  </si>
  <si>
    <t>I-IV 2024</t>
  </si>
  <si>
    <t>I-IV 2025</t>
  </si>
  <si>
    <t>V 2025 vs V 2024</t>
  </si>
  <si>
    <t>I-V 2025 vs I-V 2024</t>
  </si>
  <si>
    <t>I-IV 25/
I-IV 24</t>
  </si>
  <si>
    <t>V 2024</t>
  </si>
  <si>
    <t>V 2025</t>
  </si>
  <si>
    <t>V 2025/
V 2024</t>
  </si>
  <si>
    <t>I-V 2024</t>
  </si>
  <si>
    <t>I-V 2025</t>
  </si>
  <si>
    <t>I-V 25/
I-V 24</t>
  </si>
  <si>
    <t>FINANSOWANIE POJAZDÓW LEKKICH - maj 2025r. 
Łączne finansowanie leasingiem i pożyczką</t>
  </si>
  <si>
    <t>FINANSOWANIE MASZYN - maj 2025r. 
Łączne finansowanie leasingiem i pożyczką</t>
  </si>
  <si>
    <t>FINANSOWANIE POJAZDÓW CIĘŻKICH - maj 2025r. 
Łączne finansowanie leasingiem i pożyczką</t>
  </si>
  <si>
    <t>Związek Polskiego Leasingu, Warszawa, dnia 16-06-2025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</si>
</sst>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2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F73711"/>
      <color rgb="FFBEFF2F"/>
      <color rgb="FFA7CFEA"/>
      <color rgb="FF7E93A5"/>
      <color rgb="FF5B9BD6"/>
      <color rgb="FF0C35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05/2025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2025'!$J$11:$J$12</c:f>
              <c:numCache>
                <c:formatCode>0.0%</c:formatCode>
                <c:ptCount val="2"/>
                <c:pt idx="0">
                  <c:v>0.92790599280300368</c:v>
                </c:pt>
                <c:pt idx="1">
                  <c:v>7.2094007196996324E-2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'summary_05 2025'!$N$11:$N$12</c:f>
              <c:numCache>
                <c:formatCode>0.0%</c:formatCode>
                <c:ptCount val="2"/>
                <c:pt idx="0">
                  <c:v>0.88356564018678196</c:v>
                </c:pt>
                <c:pt idx="1">
                  <c:v>0.11643435981321804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2025'!$J$44:$J$45</c:f>
              <c:numCache>
                <c:formatCode>0.0%</c:formatCode>
                <c:ptCount val="2"/>
                <c:pt idx="0">
                  <c:v>0.900120183355962</c:v>
                </c:pt>
                <c:pt idx="1">
                  <c:v>9.9879816644038E-2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05/2025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9.2926204235984161E-2"/>
          <c:y val="2.1613847022212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'summary_05 2025'!$N$44:$N$47</c:f>
              <c:numCache>
                <c:formatCode>0.0%</c:formatCode>
                <c:ptCount val="4"/>
                <c:pt idx="0">
                  <c:v>0.21247694541694595</c:v>
                </c:pt>
                <c:pt idx="1">
                  <c:v>0.4858126948928938</c:v>
                </c:pt>
                <c:pt idx="2">
                  <c:v>0.22283947249349692</c:v>
                </c:pt>
                <c:pt idx="3">
                  <c:v>7.8870887196663339E-2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2025'!$I$78:$I$79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2025'!$J$78:$J$79</c:f>
              <c:numCache>
                <c:formatCode>0%</c:formatCode>
                <c:ptCount val="2"/>
                <c:pt idx="0">
                  <c:v>0.62701669070391086</c:v>
                </c:pt>
                <c:pt idx="1">
                  <c:v>0.37298330929608914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05/2025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2025'!$M$78:$M$81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'summary_05 2025'!$N$78:$N$81</c:f>
              <c:numCache>
                <c:formatCode>0%</c:formatCode>
                <c:ptCount val="4"/>
                <c:pt idx="0">
                  <c:v>0.17222835706655965</c:v>
                </c:pt>
                <c:pt idx="1">
                  <c:v>0.30177813738663317</c:v>
                </c:pt>
                <c:pt idx="2">
                  <c:v>0.52599350554680724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05/2025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2025'!$I$112:$I$113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'summary_05 2025'!$J$112:$J$113</c:f>
              <c:numCache>
                <c:formatCode>0.0%</c:formatCode>
                <c:ptCount val="2"/>
                <c:pt idx="0">
                  <c:v>0.85456202563759287</c:v>
                </c:pt>
                <c:pt idx="1">
                  <c:v>0.14543797436240713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05/2025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'summary_05 2025'!$M$112:$M$116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'summary_05 2025'!$N$112:$N$116</c:f>
              <c:numCache>
                <c:formatCode>0.0%</c:formatCode>
                <c:ptCount val="5"/>
                <c:pt idx="0">
                  <c:v>0.56639800906686388</c:v>
                </c:pt>
                <c:pt idx="1">
                  <c:v>0.1641889453120782</c:v>
                </c:pt>
                <c:pt idx="2">
                  <c:v>0.22528974366769555</c:v>
                </c:pt>
                <c:pt idx="3">
                  <c:v>1.0944713119168788E-2</c:v>
                </c:pt>
                <c:pt idx="4">
                  <c:v>3.3178588834193737E-2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2025'!$B$38,'szacunek rynku_05 2025'!$B$47:$B$53)</c15:sqref>
                  </c15:fullRef>
                </c:ext>
              </c:extLst>
              <c:f>('szacunek rynku_05 2025'!$B$38,'szacunek rynku_05 2025'!$B$47,'szacunek rynku_05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2025'!$H$38,'szacunek rynku_05 2025'!$H$47:$H$53)</c15:sqref>
                  </c15:fullRef>
                </c:ext>
              </c:extLst>
              <c:f>('szacunek rynku_05 2025'!$H$38,'szacunek rynku_05 2025'!$H$47,'szacunek rynku_05 2025'!$H$51:$H$53)</c:f>
              <c:numCache>
                <c:formatCode>#,##0</c:formatCode>
                <c:ptCount val="5"/>
                <c:pt idx="0">
                  <c:v>6035.6275674916442</c:v>
                </c:pt>
                <c:pt idx="1">
                  <c:v>1333.8148108183746</c:v>
                </c:pt>
                <c:pt idx="2">
                  <c:v>74.804492190786391</c:v>
                </c:pt>
                <c:pt idx="3">
                  <c:v>36.771799380813896</c:v>
                </c:pt>
                <c:pt idx="4">
                  <c:v>43.964206527140234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2025'!$B$65,'szacunek rynku_05 2025'!$B$74:$B$80)</c15:sqref>
                  </c15:fullRef>
                </c:ext>
              </c:extLst>
              <c:f>('szacunek rynku_05 2025'!$B$65,'szacunek rynku_05 2025'!$B$74,'szacunek rynku_05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2025'!$H$65,'szacunek rynku_05 2025'!$H$74:$H$80)</c15:sqref>
                  </c15:fullRef>
                </c:ext>
              </c:extLst>
              <c:f>('szacunek rynku_05 2025'!$H$65,'szacunek rynku_05 2025'!$H$74,'szacunek rynku_05 2025'!$H$78:$H$80)</c:f>
              <c:numCache>
                <c:formatCode>#,##0</c:formatCode>
                <c:ptCount val="5"/>
                <c:pt idx="0">
                  <c:v>345.62750391429842</c:v>
                </c:pt>
                <c:pt idx="1">
                  <c:v>693.45717719084678</c:v>
                </c:pt>
                <c:pt idx="2">
                  <c:v>13.853056666354005</c:v>
                </c:pt>
                <c:pt idx="3">
                  <c:v>24.177658139012156</c:v>
                </c:pt>
                <c:pt idx="4">
                  <c:v>3.1571359291141277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2025'!$B$10,'szacunek rynku_05 2025'!$B$19:$B$25)</c15:sqref>
                  </c15:fullRef>
                </c:ext>
              </c:extLst>
              <c:f>('szacunek rynku_05 2025'!$B$10,'szacunek rynku_05 2025'!$B$19,'szacunek rynku_05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2025'!$H$10,'szacunek rynku_05 2025'!$H$19:$H$25)</c15:sqref>
                  </c15:fullRef>
                </c:ext>
              </c:extLst>
              <c:f>('szacunek rynku_05 2025'!$H$10,'szacunek rynku_05 2025'!$H$19,'szacunek rynku_05 2025'!$H$23:$H$25)</c:f>
              <c:numCache>
                <c:formatCode>#,##0</c:formatCode>
                <c:ptCount val="5"/>
                <c:pt idx="0">
                  <c:v>6381.2550714059425</c:v>
                </c:pt>
                <c:pt idx="1">
                  <c:v>2027.2719880092213</c:v>
                </c:pt>
                <c:pt idx="2">
                  <c:v>88.657548857140398</c:v>
                </c:pt>
                <c:pt idx="3">
                  <c:v>60.949457519826055</c:v>
                </c:pt>
                <c:pt idx="4">
                  <c:v>47.121342456254361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2025'!$B$38,'szacunek rynku_05 2025'!$B$47:$B$53)</c15:sqref>
                  </c15:fullRef>
                </c:ext>
              </c:extLst>
              <c:f>('szacunek rynku_05 2025'!$B$38,'szacunek rynku_05 2025'!$B$47,'szacunek rynku_05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2025'!$I$38,'szacunek rynku_05 2025'!$I$47:$I$53)</c15:sqref>
                  </c15:fullRef>
                </c:ext>
              </c:extLst>
              <c:f>('szacunek rynku_05 2025'!$I$38,'szacunek rynku_05 2025'!$I$47,'szacunek rynku_05 2025'!$I$51:$I$53)</c:f>
              <c:numCache>
                <c:formatCode>#,##0</c:formatCode>
                <c:ptCount val="5"/>
                <c:pt idx="0">
                  <c:v>6514.7362745826886</c:v>
                </c:pt>
                <c:pt idx="1">
                  <c:v>1346.9579080367448</c:v>
                </c:pt>
                <c:pt idx="2">
                  <c:v>85.770127884777125</c:v>
                </c:pt>
                <c:pt idx="3">
                  <c:v>162.47854722313471</c:v>
                </c:pt>
                <c:pt idx="4">
                  <c:v>38.546299630605915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2025'!$B$65,'szacunek rynku_05 2025'!$B$74:$B$80)</c15:sqref>
                  </c15:fullRef>
                </c:ext>
              </c:extLst>
              <c:f>('szacunek rynku_05 2025'!$B$65,'szacunek rynku_05 2025'!$B$74,'szacunek rynku_05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2025'!$I$65,'szacunek rynku_05 2025'!$I$74:$I$80)</c15:sqref>
                  </c15:fullRef>
                </c:ext>
              </c:extLst>
              <c:f>('szacunek rynku_05 2025'!$I$65,'szacunek rynku_05 2025'!$I$74,'szacunek rynku_05 2025'!$I$78:$I$80)</c:f>
              <c:numCache>
                <c:formatCode>#,##0</c:formatCode>
                <c:ptCount val="5"/>
                <c:pt idx="0">
                  <c:v>550.96379093355608</c:v>
                </c:pt>
                <c:pt idx="1">
                  <c:v>801.24313350905959</c:v>
                </c:pt>
                <c:pt idx="2">
                  <c:v>18.590788592175393</c:v>
                </c:pt>
                <c:pt idx="3">
                  <c:v>8.0332590897106044</c:v>
                </c:pt>
                <c:pt idx="4">
                  <c:v>7.9610003785704748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rynku_05 2025'!$B$10,'szacunek rynku_05 2025'!$B$19:$B$25)</c15:sqref>
                  </c15:fullRef>
                </c:ext>
              </c:extLst>
              <c:f>('szacunek rynku_05 2025'!$B$10,'szacunek rynku_05 2025'!$B$19,'szacunek rynku_05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rynku_05 2025'!$I$10,'szacunek rynku_05 2025'!$I$19:$I$25)</c15:sqref>
                  </c15:fullRef>
                </c:ext>
              </c:extLst>
              <c:f>('szacunek rynku_05 2025'!$I$10,'szacunek rynku_05 2025'!$I$19,'szacunek rynku_05 2025'!$I$23:$I$25)</c:f>
              <c:numCache>
                <c:formatCode>#,##0</c:formatCode>
                <c:ptCount val="5"/>
                <c:pt idx="0">
                  <c:v>7065.7000655162446</c:v>
                </c:pt>
                <c:pt idx="1">
                  <c:v>2148.2010415458044</c:v>
                </c:pt>
                <c:pt idx="2">
                  <c:v>104.36091647695253</c:v>
                </c:pt>
                <c:pt idx="3">
                  <c:v>170.51180631284532</c:v>
                </c:pt>
                <c:pt idx="4">
                  <c:v>46.50730000917639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74,9%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14,1%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39,4%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1953" y="1657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5,4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05/2025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6</xdr:row>
      <xdr:rowOff>127009</xdr:rowOff>
    </xdr:from>
    <xdr:to>
      <xdr:col>10</xdr:col>
      <xdr:colOff>716139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187677</xdr:colOff>
      <xdr:row>6</xdr:row>
      <xdr:rowOff>127009</xdr:rowOff>
    </xdr:from>
    <xdr:to>
      <xdr:col>15</xdr:col>
      <xdr:colOff>50799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5 2025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5 2025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29,4%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5 2025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0,1%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5 2025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5 2025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5 2025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756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1176024</xdr:colOff>
      <xdr:row>44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1,6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05/2025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39</xdr:row>
      <xdr:rowOff>146050</xdr:rowOff>
    </xdr:from>
    <xdr:to>
      <xdr:col>10</xdr:col>
      <xdr:colOff>716139</xdr:colOff>
      <xdr:row>55</xdr:row>
      <xdr:rowOff>148872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39</xdr:row>
      <xdr:rowOff>146050</xdr:rowOff>
    </xdr:from>
    <xdr:to>
      <xdr:col>14</xdr:col>
      <xdr:colOff>603249</xdr:colOff>
      <xdr:row>55</xdr:row>
      <xdr:rowOff>148872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79</xdr:row>
      <xdr:rowOff>146047</xdr:rowOff>
    </xdr:from>
    <xdr:to>
      <xdr:col>4</xdr:col>
      <xdr:colOff>904654</xdr:colOff>
      <xdr:row>81</xdr:row>
      <xdr:rowOff>104922</xdr:rowOff>
    </xdr:to>
    <xdr:sp macro="" textlink="'szacunek rynku_05 2025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83</xdr:row>
      <xdr:rowOff>87536</xdr:rowOff>
    </xdr:from>
    <xdr:to>
      <xdr:col>4</xdr:col>
      <xdr:colOff>904654</xdr:colOff>
      <xdr:row>85</xdr:row>
      <xdr:rowOff>46411</xdr:rowOff>
    </xdr:to>
    <xdr:sp macro="" textlink="'szacunek rynku_05 2025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15,5%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87</xdr:row>
      <xdr:rowOff>146601</xdr:rowOff>
    </xdr:from>
    <xdr:to>
      <xdr:col>4</xdr:col>
      <xdr:colOff>904654</xdr:colOff>
      <xdr:row>89</xdr:row>
      <xdr:rowOff>105476</xdr:rowOff>
    </xdr:to>
    <xdr:sp macro="" textlink="'szacunek rynku_05 2025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87</xdr:row>
      <xdr:rowOff>129283</xdr:rowOff>
    </xdr:from>
    <xdr:to>
      <xdr:col>6</xdr:col>
      <xdr:colOff>578172</xdr:colOff>
      <xdr:row>89</xdr:row>
      <xdr:rowOff>88158</xdr:rowOff>
    </xdr:to>
    <xdr:sp macro="" textlink="'szacunek rynku_05 2025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83</xdr:row>
      <xdr:rowOff>87536</xdr:rowOff>
    </xdr:from>
    <xdr:to>
      <xdr:col>6</xdr:col>
      <xdr:colOff>589718</xdr:colOff>
      <xdr:row>85</xdr:row>
      <xdr:rowOff>46411</xdr:rowOff>
    </xdr:to>
    <xdr:sp macro="" textlink="'szacunek rynku_05 2025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79</xdr:row>
      <xdr:rowOff>146047</xdr:rowOff>
    </xdr:from>
    <xdr:to>
      <xdr:col>6</xdr:col>
      <xdr:colOff>589718</xdr:colOff>
      <xdr:row>81</xdr:row>
      <xdr:rowOff>104922</xdr:rowOff>
    </xdr:to>
    <xdr:sp macro="" textlink="'szacunek rynku_05 2025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79</xdr:row>
      <xdr:rowOff>146046</xdr:rowOff>
    </xdr:from>
    <xdr:to>
      <xdr:col>3</xdr:col>
      <xdr:colOff>1176096</xdr:colOff>
      <xdr:row>81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83</xdr:row>
      <xdr:rowOff>87535</xdr:rowOff>
    </xdr:from>
    <xdr:to>
      <xdr:col>3</xdr:col>
      <xdr:colOff>1176096</xdr:colOff>
      <xdr:row>85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87</xdr:row>
      <xdr:rowOff>146600</xdr:rowOff>
    </xdr:from>
    <xdr:to>
      <xdr:col>3</xdr:col>
      <xdr:colOff>1176096</xdr:colOff>
      <xdr:row>89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77</xdr:row>
      <xdr:rowOff>1046</xdr:rowOff>
    </xdr:from>
    <xdr:to>
      <xdr:col>4</xdr:col>
      <xdr:colOff>904654</xdr:colOff>
      <xdr:row>78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77</xdr:row>
      <xdr:rowOff>1046</xdr:rowOff>
    </xdr:from>
    <xdr:to>
      <xdr:col>6</xdr:col>
      <xdr:colOff>589718</xdr:colOff>
      <xdr:row>78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86</xdr:row>
      <xdr:rowOff>96505</xdr:rowOff>
    </xdr:from>
    <xdr:to>
      <xdr:col>6</xdr:col>
      <xdr:colOff>732905</xdr:colOff>
      <xdr:row>86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75</xdr:row>
      <xdr:rowOff>107156</xdr:rowOff>
    </xdr:from>
    <xdr:to>
      <xdr:col>17</xdr:col>
      <xdr:colOff>333375</xdr:colOff>
      <xdr:row>85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73</xdr:row>
      <xdr:rowOff>127009</xdr:rowOff>
    </xdr:from>
    <xdr:to>
      <xdr:col>6</xdr:col>
      <xdr:colOff>627940</xdr:colOff>
      <xdr:row>76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0939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90</xdr:row>
      <xdr:rowOff>76200</xdr:rowOff>
    </xdr:from>
    <xdr:to>
      <xdr:col>14</xdr:col>
      <xdr:colOff>564443</xdr:colOff>
      <xdr:row>101</xdr:row>
      <xdr:rowOff>57150</xdr:rowOff>
    </xdr:to>
    <xdr:sp macro="" textlink="">
      <xdr:nvSpPr>
        <xdr:cNvPr id="58" name="Prostokąt: zaokrąglone rogi 57">
          <a:extLst>
            <a:ext uri="{FF2B5EF4-FFF2-40B4-BE49-F238E27FC236}">
              <a16:creationId xmlns:a16="http://schemas.microsoft.com/office/drawing/2014/main" id="{0A20EE40-D74A-458C-92DA-55918EC24D3C}"/>
            </a:ext>
          </a:extLst>
        </xdr:cNvPr>
        <xdr:cNvSpPr/>
      </xdr:nvSpPr>
      <xdr:spPr>
        <a:xfrm>
          <a:off x="842433" y="18973800"/>
          <a:ext cx="10532885" cy="210502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z wyraźnym wzrostem w maju, po niewielkim minusie w kwietniu 2025 (-0,7% r/r) oraz -0,9% r/r w I kwartale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Ujemny wynik finansowania maszyn budowlanych pod negatywnym wpływem hamowania aktywności deweloperskiej na przełomie 2024 i 2025 roku, przy wciąż jeszcze niskiej aktywności w budownictwie infrastrukturalnym. Przekłada się na spadki w finansowaniu sprzętu BUD w maju, po -7,2% r/r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I kw. 2025 oraz -15,5% w kwietniu 2025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Maj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przyniósł zauważalne odbicie w pozostaych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maszynach, po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wyraźnych spadkach notowanych w tym sektorze za pierwsze 4 m-ce 2025. To zapewne wpływ lepszych wyników krajowych branż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produkcji przemysłowej. </a:t>
          </a: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Nadal obserwujemy bardzo mocne odbicie w maszynach rolniczych (po -5,0% r/r za IV kw. 2024 oraz 26,8% r/r w I kw. 2025 i 27,2% r/r w kwietniu 2025), co wiąże się już z rosnącymi cenami skupu podstawowych produktów rolnych i wynikającą z tego poprawą nastrojów wśród gospodarstw rolnych. Sektor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ten wspierają też środki z kończącego się PROW.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73</xdr:row>
      <xdr:rowOff>147810</xdr:rowOff>
    </xdr:from>
    <xdr:to>
      <xdr:col>3</xdr:col>
      <xdr:colOff>1176024</xdr:colOff>
      <xdr:row>78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2,1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05/2025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73</xdr:row>
      <xdr:rowOff>120650</xdr:rowOff>
    </xdr:from>
    <xdr:to>
      <xdr:col>10</xdr:col>
      <xdr:colOff>684389</xdr:colOff>
      <xdr:row>89</xdr:row>
      <xdr:rowOff>123472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73</xdr:row>
      <xdr:rowOff>120650</xdr:rowOff>
    </xdr:from>
    <xdr:to>
      <xdr:col>14</xdr:col>
      <xdr:colOff>571499</xdr:colOff>
      <xdr:row>89</xdr:row>
      <xdr:rowOff>123472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475457</xdr:colOff>
      <xdr:row>37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71</xdr:row>
      <xdr:rowOff>80433</xdr:rowOff>
    </xdr:from>
    <xdr:to>
      <xdr:col>3</xdr:col>
      <xdr:colOff>317500</xdr:colOff>
      <xdr:row>71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113</xdr:row>
      <xdr:rowOff>146047</xdr:rowOff>
    </xdr:from>
    <xdr:to>
      <xdr:col>4</xdr:col>
      <xdr:colOff>904654</xdr:colOff>
      <xdr:row>115</xdr:row>
      <xdr:rowOff>104922</xdr:rowOff>
    </xdr:to>
    <xdr:sp macro="" textlink="'szacunek rynku_05 2025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8,3%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117</xdr:row>
      <xdr:rowOff>87536</xdr:rowOff>
    </xdr:from>
    <xdr:to>
      <xdr:col>4</xdr:col>
      <xdr:colOff>904654</xdr:colOff>
      <xdr:row>119</xdr:row>
      <xdr:rowOff>46411</xdr:rowOff>
    </xdr:to>
    <xdr:sp macro="" textlink="'szacunek rynku_05 2025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28,4%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121</xdr:row>
      <xdr:rowOff>146601</xdr:rowOff>
    </xdr:from>
    <xdr:to>
      <xdr:col>4</xdr:col>
      <xdr:colOff>904654</xdr:colOff>
      <xdr:row>123</xdr:row>
      <xdr:rowOff>105476</xdr:rowOff>
    </xdr:to>
    <xdr:sp macro="" textlink="'szacunek rynku_05 2025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121</xdr:row>
      <xdr:rowOff>146601</xdr:rowOff>
    </xdr:from>
    <xdr:to>
      <xdr:col>6</xdr:col>
      <xdr:colOff>589718</xdr:colOff>
      <xdr:row>123</xdr:row>
      <xdr:rowOff>105476</xdr:rowOff>
    </xdr:to>
    <xdr:sp macro="" textlink="'szacunek rynku_05 2025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117</xdr:row>
      <xdr:rowOff>87536</xdr:rowOff>
    </xdr:from>
    <xdr:to>
      <xdr:col>6</xdr:col>
      <xdr:colOff>589718</xdr:colOff>
      <xdr:row>119</xdr:row>
      <xdr:rowOff>46411</xdr:rowOff>
    </xdr:to>
    <xdr:sp macro="" textlink="'szacunek rynku_05 2025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24,6%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113</xdr:row>
      <xdr:rowOff>146047</xdr:rowOff>
    </xdr:from>
    <xdr:to>
      <xdr:col>6</xdr:col>
      <xdr:colOff>589718</xdr:colOff>
      <xdr:row>115</xdr:row>
      <xdr:rowOff>104922</xdr:rowOff>
    </xdr:to>
    <xdr:sp macro="" textlink="'szacunek rynku_05 2025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113</xdr:row>
      <xdr:rowOff>146046</xdr:rowOff>
    </xdr:from>
    <xdr:to>
      <xdr:col>3</xdr:col>
      <xdr:colOff>1176096</xdr:colOff>
      <xdr:row>115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117</xdr:row>
      <xdr:rowOff>87535</xdr:rowOff>
    </xdr:from>
    <xdr:to>
      <xdr:col>3</xdr:col>
      <xdr:colOff>1176096</xdr:colOff>
      <xdr:row>119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121</xdr:row>
      <xdr:rowOff>10526</xdr:rowOff>
    </xdr:from>
    <xdr:to>
      <xdr:col>3</xdr:col>
      <xdr:colOff>1176096</xdr:colOff>
      <xdr:row>124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111</xdr:row>
      <xdr:rowOff>1046</xdr:rowOff>
    </xdr:from>
    <xdr:to>
      <xdr:col>4</xdr:col>
      <xdr:colOff>904654</xdr:colOff>
      <xdr:row>112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111</xdr:row>
      <xdr:rowOff>1046</xdr:rowOff>
    </xdr:from>
    <xdr:to>
      <xdr:col>6</xdr:col>
      <xdr:colOff>589718</xdr:colOff>
      <xdr:row>112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120</xdr:row>
      <xdr:rowOff>96505</xdr:rowOff>
    </xdr:from>
    <xdr:to>
      <xdr:col>6</xdr:col>
      <xdr:colOff>732905</xdr:colOff>
      <xdr:row>120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107</xdr:row>
      <xdr:rowOff>127009</xdr:rowOff>
    </xdr:from>
    <xdr:to>
      <xdr:col>6</xdr:col>
      <xdr:colOff>627940</xdr:colOff>
      <xdr:row>110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107</xdr:row>
      <xdr:rowOff>147810</xdr:rowOff>
    </xdr:from>
    <xdr:to>
      <xdr:col>3</xdr:col>
      <xdr:colOff>1176024</xdr:colOff>
      <xdr:row>112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9,5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05/2025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107</xdr:row>
      <xdr:rowOff>127009</xdr:rowOff>
    </xdr:from>
    <xdr:to>
      <xdr:col>10</xdr:col>
      <xdr:colOff>684389</xdr:colOff>
      <xdr:row>123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107</xdr:row>
      <xdr:rowOff>127009</xdr:rowOff>
    </xdr:from>
    <xdr:to>
      <xdr:col>14</xdr:col>
      <xdr:colOff>571499</xdr:colOff>
      <xdr:row>123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5 2025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17,0%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5 2025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-3,6%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5 2025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5 2025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5 2025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-7,0%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5 2025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5 2025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-12,2%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5 2025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5 2025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12,9%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5 2025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5 2025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5 2025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38,1%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80</xdr:row>
      <xdr:rowOff>6338</xdr:rowOff>
    </xdr:from>
    <xdr:to>
      <xdr:col>20</xdr:col>
      <xdr:colOff>1385663</xdr:colOff>
      <xdr:row>81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83</xdr:row>
      <xdr:rowOff>5885</xdr:rowOff>
    </xdr:from>
    <xdr:to>
      <xdr:col>20</xdr:col>
      <xdr:colOff>1385663</xdr:colOff>
      <xdr:row>84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80</xdr:row>
      <xdr:rowOff>6338</xdr:rowOff>
    </xdr:from>
    <xdr:to>
      <xdr:col>22</xdr:col>
      <xdr:colOff>19655</xdr:colOff>
      <xdr:row>81</xdr:row>
      <xdr:rowOff>149363</xdr:rowOff>
    </xdr:to>
    <xdr:sp macro="" textlink="'szacunek rynku_05 2025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-19,4%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83</xdr:row>
      <xdr:rowOff>5885</xdr:rowOff>
    </xdr:from>
    <xdr:to>
      <xdr:col>22</xdr:col>
      <xdr:colOff>19655</xdr:colOff>
      <xdr:row>84</xdr:row>
      <xdr:rowOff>148909</xdr:rowOff>
    </xdr:to>
    <xdr:sp macro="" textlink="'szacunek rynku_05 2025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34,1%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83</xdr:row>
      <xdr:rowOff>5885</xdr:rowOff>
    </xdr:from>
    <xdr:to>
      <xdr:col>24</xdr:col>
      <xdr:colOff>176545</xdr:colOff>
      <xdr:row>84</xdr:row>
      <xdr:rowOff>148909</xdr:rowOff>
    </xdr:to>
    <xdr:sp macro="" textlink="'szacunek rynku_05 2025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28,4%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77</xdr:row>
      <xdr:rowOff>102637</xdr:rowOff>
    </xdr:from>
    <xdr:to>
      <xdr:col>22</xdr:col>
      <xdr:colOff>19655</xdr:colOff>
      <xdr:row>79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05/2025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77</xdr:row>
      <xdr:rowOff>102637</xdr:rowOff>
    </xdr:from>
    <xdr:to>
      <xdr:col>24</xdr:col>
      <xdr:colOff>176545</xdr:colOff>
      <xdr:row>79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01-05/2025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80</xdr:row>
      <xdr:rowOff>6337</xdr:rowOff>
    </xdr:from>
    <xdr:to>
      <xdr:col>24</xdr:col>
      <xdr:colOff>176545</xdr:colOff>
      <xdr:row>81</xdr:row>
      <xdr:rowOff>149363</xdr:rowOff>
    </xdr:to>
    <xdr:sp macro="" textlink="'szacunek rynku_05 2025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-11,7%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73</xdr:row>
      <xdr:rowOff>139700</xdr:rowOff>
    </xdr:from>
    <xdr:to>
      <xdr:col>24</xdr:col>
      <xdr:colOff>176545</xdr:colOff>
      <xdr:row>76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86</xdr:row>
      <xdr:rowOff>5431</xdr:rowOff>
    </xdr:from>
    <xdr:to>
      <xdr:col>20</xdr:col>
      <xdr:colOff>1385663</xdr:colOff>
      <xdr:row>87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86</xdr:row>
      <xdr:rowOff>5431</xdr:rowOff>
    </xdr:from>
    <xdr:to>
      <xdr:col>21</xdr:col>
      <xdr:colOff>1022955</xdr:colOff>
      <xdr:row>87</xdr:row>
      <xdr:rowOff>148455</xdr:rowOff>
    </xdr:to>
    <xdr:sp macro="" textlink="'szacunek rynku_05 2025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86</xdr:row>
      <xdr:rowOff>5431</xdr:rowOff>
    </xdr:from>
    <xdr:to>
      <xdr:col>24</xdr:col>
      <xdr:colOff>151145</xdr:colOff>
      <xdr:row>87</xdr:row>
      <xdr:rowOff>148455</xdr:rowOff>
    </xdr:to>
    <xdr:sp macro="" textlink="'szacunek rynku_05 2025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-6,4%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241300</xdr:colOff>
      <xdr:row>23</xdr:row>
      <xdr:rowOff>158750</xdr:rowOff>
    </xdr:from>
    <xdr:to>
      <xdr:col>14</xdr:col>
      <xdr:colOff>562327</xdr:colOff>
      <xdr:row>31</xdr:row>
      <xdr:rowOff>150284</xdr:rowOff>
    </xdr:to>
    <xdr:sp macro="" textlink="">
      <xdr:nvSpPr>
        <xdr:cNvPr id="122" name="Prostokąt: zaokrąglone rogi 121">
          <a:extLst>
            <a:ext uri="{FF2B5EF4-FFF2-40B4-BE49-F238E27FC236}">
              <a16:creationId xmlns:a16="http://schemas.microsoft.com/office/drawing/2014/main" id="{00AD24CF-458D-415E-91E0-6DEC940E1288}"/>
            </a:ext>
          </a:extLst>
        </xdr:cNvPr>
        <xdr:cNvSpPr/>
      </xdr:nvSpPr>
      <xdr:spPr>
        <a:xfrm>
          <a:off x="850900" y="4826000"/>
          <a:ext cx="10900127" cy="147108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główną siłą napędową całego rynku leasingu, ze stopniowo coraz wyższym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tempem rozwoju.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przyspieszyła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maju do 14,1% r/r, po 11,6% r/r w kwietniu, 7,9% r/r w marcu i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2,6% r/r za 01-02 2025. To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wciąż  poniżej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24,7% r/r za cały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Oczekujemy, że wzrost gospodarczy w 2025 wyniesie ok. 3,5% i będzie on mocno bazował na popycie konsumpcyjnym.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222250</xdr:colOff>
      <xdr:row>56</xdr:row>
      <xdr:rowOff>114299</xdr:rowOff>
    </xdr:from>
    <xdr:to>
      <xdr:col>14</xdr:col>
      <xdr:colOff>553860</xdr:colOff>
      <xdr:row>67</xdr:row>
      <xdr:rowOff>66674</xdr:rowOff>
    </xdr:to>
    <xdr:sp macro="" textlink="">
      <xdr:nvSpPr>
        <xdr:cNvPr id="123" name="Prostokąt: zaokrąglone rogi 122">
          <a:extLst>
            <a:ext uri="{FF2B5EF4-FFF2-40B4-BE49-F238E27FC236}">
              <a16:creationId xmlns:a16="http://schemas.microsoft.com/office/drawing/2014/main" id="{C3539999-C7E3-46EC-AAB6-FB8EA45337E2}"/>
            </a:ext>
          </a:extLst>
        </xdr:cNvPr>
        <xdr:cNvSpPr/>
      </xdr:nvSpPr>
      <xdr:spPr>
        <a:xfrm>
          <a:off x="831850" y="11858624"/>
          <a:ext cx="10532885" cy="208597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od trzech miesięcy pozostaje na niewielkim plusie (po 3,2% r/r w marcu oraz 2,0% r/r w kwietniu 2025). To pierwsze wzrosty w ujęciu rocznym segmentu TRK od II kw. 2023. Wzrosty są umiarkowane, poniżej wyników które obserwujemy w rejestracjach TRK na firmy leasingowe, ale to jednak diametralna poprawa wobec -13,7% r/r za 2024 i -7,1% r/r za 01-02/2025.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ciągników siodłowych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pozostaje jeszcze na minusie, ale spadki nie są już tak głębokie jak na przełomie 2024 i 2025 roku. Sektor TRK rośnie głównie w obszarze naczep, gdzie dynamika w maju wyraźnie przyspieszyła wobec 2,8% r/r w kwietniu. Oceniamy, że najgorsze w sektorze finansowania TRK już za nami, ale wciąż problemy w przemyśle strefy euro i trudna sytuacja finansowa firm transportowych, przekładają się na niski popyt inwestycyjny w transporcie drogowym międzynarodowym i spadek średniej wartości transakcji.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Słaby majowy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wynik w typowych ciężarówkach (bardziej związanych z popytem krajowym) i bardzo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190500</xdr:colOff>
      <xdr:row>124</xdr:row>
      <xdr:rowOff>161925</xdr:rowOff>
    </xdr:from>
    <xdr:to>
      <xdr:col>14</xdr:col>
      <xdr:colOff>522110</xdr:colOff>
      <xdr:row>133</xdr:row>
      <xdr:rowOff>142875</xdr:rowOff>
    </xdr:to>
    <xdr:sp macro="" textlink="">
      <xdr:nvSpPr>
        <xdr:cNvPr id="141" name="Prostokąt: zaokrąglone rogi 140">
          <a:extLst>
            <a:ext uri="{FF2B5EF4-FFF2-40B4-BE49-F238E27FC236}">
              <a16:creationId xmlns:a16="http://schemas.microsoft.com/office/drawing/2014/main" id="{D396AD1A-4758-4FDB-BC39-70B3F067A15A}"/>
            </a:ext>
          </a:extLst>
        </xdr:cNvPr>
        <xdr:cNvSpPr/>
      </xdr:nvSpPr>
      <xdr:spPr>
        <a:xfrm>
          <a:off x="800100" y="25793700"/>
          <a:ext cx="10532885" cy="16954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Stopnowo coraz bardziej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rozpędzamy się w 2025 roku. Wynik rynku za maj zauważalnie powyżej 1,7% r/r dla I kwartału 2025 (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z 5,4% r/r dla marca) oraz 7,5% w kwietniu 2025.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Dodatnia dynamika rynku budowana jest wciąż głównie przez finansowanie aktywów w pożyczce,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ale zarówno kwiecień jak i maj przyniosły też odbicie w samym leasingu.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wzrost znaczenia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w II połowie 2025 powinny przełożyć się na ok. 13-proc. wzrost finansowania aktywów przez firmy leasingowe w 2025 roku, zgodnie z ostatnią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5 2025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V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5 2025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5 2025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5 2025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5 2025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5 2025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5"/>
  <sheetViews>
    <sheetView showGridLines="0" zoomScale="90" zoomScaleNormal="90" workbookViewId="0">
      <selection activeCell="B2" sqref="B2"/>
    </sheetView>
  </sheetViews>
  <sheetFormatPr defaultRowHeight="14.4" x14ac:dyDescent="0.3"/>
  <cols>
    <col min="2" max="2" width="3.5546875" customWidth="1"/>
    <col min="4" max="4" width="27" customWidth="1"/>
    <col min="5" max="7" width="14.6640625" customWidth="1"/>
    <col min="11" max="11" width="10.44140625" bestFit="1" customWidth="1"/>
    <col min="12" max="14" width="10.44140625" customWidth="1"/>
    <col min="16" max="16" width="3.5546875" customWidth="1"/>
    <col min="19" max="19" width="3.5546875" customWidth="1"/>
    <col min="21" max="21" width="27" customWidth="1"/>
    <col min="22" max="23" width="14.6640625" customWidth="1"/>
    <col min="29" max="29" width="3.5546875" customWidth="1"/>
  </cols>
  <sheetData>
    <row r="2" spans="2:31" ht="21" x14ac:dyDescent="0.4">
      <c r="B2" s="76" t="s">
        <v>52</v>
      </c>
    </row>
    <row r="3" spans="2:31" ht="21.6" thickBot="1" x14ac:dyDescent="0.45">
      <c r="B3" s="76"/>
    </row>
    <row r="4" spans="2:31" ht="15" thickTop="1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3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49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3">
      <c r="B6" s="8"/>
      <c r="P6" s="9"/>
      <c r="S6" s="8"/>
      <c r="AC6" s="9"/>
    </row>
    <row r="7" spans="2:31" x14ac:dyDescent="0.3">
      <c r="B7" s="8"/>
      <c r="P7" s="9"/>
      <c r="S7" s="8"/>
      <c r="AC7" s="9"/>
    </row>
    <row r="8" spans="2:31" x14ac:dyDescent="0.3">
      <c r="B8" s="8"/>
      <c r="P8" s="9"/>
      <c r="S8" s="8"/>
      <c r="AC8" s="9"/>
    </row>
    <row r="9" spans="2:31" x14ac:dyDescent="0.3">
      <c r="B9" s="8"/>
      <c r="P9" s="9"/>
      <c r="S9" s="8"/>
      <c r="AC9" s="9"/>
    </row>
    <row r="10" spans="2:31" x14ac:dyDescent="0.3">
      <c r="B10" s="8"/>
      <c r="J10" s="63" t="s">
        <v>35</v>
      </c>
      <c r="N10" s="63" t="s">
        <v>35</v>
      </c>
      <c r="P10" s="9"/>
      <c r="S10" s="8"/>
      <c r="V10" s="14"/>
      <c r="AC10" s="9"/>
    </row>
    <row r="11" spans="2:31" x14ac:dyDescent="0.3">
      <c r="B11" s="8"/>
      <c r="I11" t="s">
        <v>1</v>
      </c>
      <c r="J11" s="64">
        <f>('szacunek rynku_05 2025'!I39+'szacunek rynku_05 2025'!I40)/('szacunek rynku_05 2025'!I11+'szacunek rynku_05 2025'!I12)</f>
        <v>0.92790599280300368</v>
      </c>
      <c r="M11" t="s">
        <v>0</v>
      </c>
      <c r="N11" s="64">
        <f>'szacunek rynku_05 2025'!I11/SUM('szacunek rynku_05 2025'!I11:I12)</f>
        <v>0.88356564018678196</v>
      </c>
      <c r="P11" s="9"/>
      <c r="S11" s="8"/>
      <c r="V11" s="66"/>
      <c r="Z11" s="13"/>
      <c r="AC11" s="9"/>
    </row>
    <row r="12" spans="2:31" x14ac:dyDescent="0.3">
      <c r="B12" s="8"/>
      <c r="I12" t="s">
        <v>2</v>
      </c>
      <c r="J12" s="64">
        <f>1-J11</f>
        <v>7.2094007196996324E-2</v>
      </c>
      <c r="M12" t="s">
        <v>3</v>
      </c>
      <c r="N12" s="64">
        <f>1-N11</f>
        <v>0.11643435981321804</v>
      </c>
      <c r="P12" s="9"/>
      <c r="S12" s="8"/>
      <c r="V12" s="66"/>
      <c r="Z12" s="13"/>
      <c r="AA12" s="71"/>
      <c r="AC12" s="9"/>
    </row>
    <row r="13" spans="2:31" x14ac:dyDescent="0.3">
      <c r="B13" s="8"/>
      <c r="P13" s="9"/>
      <c r="S13" s="8"/>
      <c r="Z13" s="13"/>
      <c r="AC13" s="9"/>
    </row>
    <row r="14" spans="2:31" x14ac:dyDescent="0.3">
      <c r="B14" s="8"/>
      <c r="I14" t="s">
        <v>1</v>
      </c>
      <c r="J14" s="65">
        <f>('szacunek rynku_05 2025'!I39+'szacunek rynku_05 2025'!I40)/('szacunek rynku_05 2025'!H39+'szacunek rynku_05 2025'!H40)-1</f>
        <v>0.11117870254358131</v>
      </c>
      <c r="K14" s="64">
        <f>('szacunek rynku_05 2025'!N39+'szacunek rynku_05 2025'!N40)/('szacunek rynku_05 2025'!M39+'szacunek rynku_05 2025'!M40)-1</f>
        <v>6.3457797026401641E-2</v>
      </c>
      <c r="P14" s="9"/>
      <c r="S14" s="8"/>
      <c r="AC14" s="9"/>
    </row>
    <row r="15" spans="2:31" x14ac:dyDescent="0.3">
      <c r="B15" s="8"/>
      <c r="I15" t="s">
        <v>2</v>
      </c>
      <c r="J15" s="65">
        <f>('szacunek rynku_05 2025'!I66+'szacunek rynku_05 2025'!I67)/('szacunek rynku_05 2025'!H66+'szacunek rynku_05 2025'!H67)-1</f>
        <v>0.74902608742801546</v>
      </c>
      <c r="K15" s="64">
        <f>('szacunek rynku_05 2025'!N66+'szacunek rynku_05 2025'!N67)/('szacunek rynku_05 2025'!M66+'szacunek rynku_05 2025'!M67)-1</f>
        <v>0.39377096257891919</v>
      </c>
      <c r="P15" s="9"/>
      <c r="S15" s="8"/>
      <c r="AC15" s="9"/>
    </row>
    <row r="16" spans="2:31" x14ac:dyDescent="0.3">
      <c r="B16" s="8"/>
      <c r="I16" t="s">
        <v>34</v>
      </c>
      <c r="J16" s="65">
        <f>('szacunek rynku_05 2025'!I12+'szacunek rynku_05 2025'!I11)/('szacunek rynku_05 2025'!H11+'szacunek rynku_05 2025'!H12)-1</f>
        <v>0.14118239610871286</v>
      </c>
      <c r="K16" s="64">
        <f>('szacunek rynku_05 2025'!N12+'szacunek rynku_05 2025'!N11)/('szacunek rynku_05 2025'!M11+'szacunek rynku_05 2025'!M12)-1</f>
        <v>7.8748857649914461E-2</v>
      </c>
      <c r="P16" s="9"/>
      <c r="S16" s="8"/>
      <c r="AC16" s="9"/>
    </row>
    <row r="17" spans="2:29" x14ac:dyDescent="0.3">
      <c r="B17" s="8"/>
      <c r="P17" s="9"/>
      <c r="S17" s="8"/>
      <c r="AC17" s="9"/>
    </row>
    <row r="18" spans="2:29" x14ac:dyDescent="0.3">
      <c r="B18" s="8"/>
      <c r="P18" s="9"/>
      <c r="S18" s="8"/>
      <c r="AC18" s="9"/>
    </row>
    <row r="19" spans="2:29" x14ac:dyDescent="0.3">
      <c r="B19" s="8"/>
      <c r="P19" s="9"/>
      <c r="S19" s="8"/>
      <c r="AC19" s="9"/>
    </row>
    <row r="20" spans="2:29" x14ac:dyDescent="0.3">
      <c r="B20" s="8"/>
      <c r="P20" s="9"/>
      <c r="S20" s="8"/>
      <c r="AC20" s="9"/>
    </row>
    <row r="21" spans="2:29" x14ac:dyDescent="0.3">
      <c r="B21" s="8"/>
      <c r="P21" s="9"/>
      <c r="S21" s="8"/>
      <c r="AC21" s="9"/>
    </row>
    <row r="22" spans="2:29" x14ac:dyDescent="0.3">
      <c r="B22" s="8"/>
      <c r="P22" s="9"/>
      <c r="S22" s="8"/>
      <c r="AC22" s="9"/>
    </row>
    <row r="23" spans="2:29" ht="15" thickBot="1" x14ac:dyDescent="0.35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" thickTop="1" x14ac:dyDescent="0.3">
      <c r="B24" s="8"/>
      <c r="P24" s="9"/>
    </row>
    <row r="25" spans="2:29" x14ac:dyDescent="0.3">
      <c r="B25" s="8"/>
      <c r="P25" s="9"/>
    </row>
    <row r="26" spans="2:29" x14ac:dyDescent="0.3">
      <c r="B26" s="8"/>
      <c r="P26" s="9"/>
    </row>
    <row r="27" spans="2:29" x14ac:dyDescent="0.3">
      <c r="B27" s="8"/>
      <c r="P27" s="9"/>
    </row>
    <row r="28" spans="2:29" x14ac:dyDescent="0.3">
      <c r="B28" s="8"/>
      <c r="P28" s="9"/>
    </row>
    <row r="29" spans="2:29" x14ac:dyDescent="0.3">
      <c r="B29" s="8"/>
      <c r="P29" s="9"/>
    </row>
    <row r="30" spans="2:29" x14ac:dyDescent="0.3">
      <c r="B30" s="8"/>
      <c r="P30" s="9"/>
    </row>
    <row r="31" spans="2:29" x14ac:dyDescent="0.3">
      <c r="B31" s="8"/>
      <c r="P31" s="9"/>
    </row>
    <row r="32" spans="2:29" x14ac:dyDescent="0.3">
      <c r="B32" s="8"/>
      <c r="P32" s="9"/>
    </row>
    <row r="33" spans="2:31" ht="16.5" customHeight="1" thickBot="1" x14ac:dyDescent="0.35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" thickTop="1" x14ac:dyDescent="0.3"/>
    <row r="36" spans="2:31" ht="15" thickBot="1" x14ac:dyDescent="0.35"/>
    <row r="37" spans="2:31" ht="15" thickTop="1" x14ac:dyDescent="0.3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3">
      <c r="B38" s="4"/>
      <c r="C38" s="73" t="s">
        <v>29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5"/>
      <c r="S38" s="4"/>
      <c r="T38" s="73" t="s">
        <v>51</v>
      </c>
      <c r="U38" s="73"/>
      <c r="V38" s="73"/>
      <c r="W38" s="73"/>
      <c r="X38" s="73"/>
      <c r="Y38" s="73"/>
      <c r="Z38" s="73"/>
      <c r="AA38" s="73"/>
      <c r="AB38" s="73"/>
      <c r="AC38" s="5"/>
      <c r="AE38" s="7"/>
    </row>
    <row r="39" spans="2:31" x14ac:dyDescent="0.3">
      <c r="B39" s="8"/>
      <c r="P39" s="9"/>
      <c r="S39" s="8"/>
      <c r="AC39" s="9"/>
    </row>
    <row r="40" spans="2:31" x14ac:dyDescent="0.3">
      <c r="B40" s="8"/>
      <c r="P40" s="9"/>
      <c r="S40" s="8"/>
      <c r="AC40" s="9"/>
    </row>
    <row r="41" spans="2:31" x14ac:dyDescent="0.3">
      <c r="B41" s="8"/>
      <c r="P41" s="9"/>
      <c r="S41" s="8"/>
      <c r="AC41" s="9"/>
    </row>
    <row r="42" spans="2:31" x14ac:dyDescent="0.3">
      <c r="B42" s="8"/>
      <c r="P42" s="9"/>
      <c r="S42" s="8"/>
      <c r="AC42" s="9"/>
    </row>
    <row r="43" spans="2:31" x14ac:dyDescent="0.3">
      <c r="B43" s="8"/>
      <c r="J43" s="63" t="s">
        <v>36</v>
      </c>
      <c r="N43" s="63" t="s">
        <v>36</v>
      </c>
      <c r="P43" s="9"/>
      <c r="S43" s="8"/>
      <c r="V43" s="14"/>
      <c r="AC43" s="9"/>
    </row>
    <row r="44" spans="2:31" x14ac:dyDescent="0.3">
      <c r="B44" s="8"/>
      <c r="I44" t="s">
        <v>1</v>
      </c>
      <c r="J44" s="64">
        <f>'szacunek rynku_05 2025'!I41/'szacunek rynku_05 2025'!I13</f>
        <v>0.900120183355962</v>
      </c>
      <c r="K44" s="64"/>
      <c r="M44" t="s">
        <v>33</v>
      </c>
      <c r="N44" s="64">
        <f>'szacunek rynku_05 2025'!I14/'szacunek rynku_05 2025'!$I$13</f>
        <v>0.21247694541694595</v>
      </c>
      <c r="O44" s="64"/>
      <c r="P44" s="9"/>
      <c r="S44" s="8"/>
      <c r="V44" s="66"/>
      <c r="Z44" s="13"/>
      <c r="AC44" s="9"/>
    </row>
    <row r="45" spans="2:31" x14ac:dyDescent="0.3">
      <c r="B45" s="8"/>
      <c r="I45" t="s">
        <v>2</v>
      </c>
      <c r="J45" s="64">
        <f>1-J44</f>
        <v>9.9879816644038E-2</v>
      </c>
      <c r="K45" s="64"/>
      <c r="M45" t="s">
        <v>4</v>
      </c>
      <c r="N45" s="64">
        <f>'szacunek rynku_05 2025'!I15/'szacunek rynku_05 2025'!$I$13</f>
        <v>0.4858126948928938</v>
      </c>
      <c r="O45" s="64"/>
      <c r="P45" s="9"/>
      <c r="S45" s="8"/>
      <c r="V45" s="66"/>
      <c r="Z45" s="13"/>
      <c r="AC45" s="9"/>
    </row>
    <row r="46" spans="2:31" x14ac:dyDescent="0.3">
      <c r="B46" s="8"/>
      <c r="M46" t="s">
        <v>5</v>
      </c>
      <c r="N46" s="64">
        <f>'szacunek rynku_05 2025'!I16/'szacunek rynku_05 2025'!$I$13</f>
        <v>0.22283947249349692</v>
      </c>
      <c r="O46" s="64"/>
      <c r="P46" s="9"/>
      <c r="S46" s="8"/>
      <c r="Z46" s="13"/>
      <c r="AC46" s="9"/>
    </row>
    <row r="47" spans="2:31" x14ac:dyDescent="0.3">
      <c r="B47" s="8"/>
      <c r="M47" t="s">
        <v>6</v>
      </c>
      <c r="N47" s="64">
        <f>'szacunek rynku_05 2025'!I17/'szacunek rynku_05 2025'!$I$13</f>
        <v>7.8870887196663339E-2</v>
      </c>
      <c r="O47" s="64"/>
      <c r="P47" s="9"/>
      <c r="S47" s="8"/>
      <c r="AC47" s="9"/>
    </row>
    <row r="48" spans="2:31" x14ac:dyDescent="0.3">
      <c r="B48" s="8"/>
      <c r="P48" s="9"/>
      <c r="S48" s="8"/>
      <c r="AC48" s="9"/>
    </row>
    <row r="49" spans="2:29" x14ac:dyDescent="0.3">
      <c r="B49" s="8"/>
      <c r="P49" s="9"/>
      <c r="S49" s="8"/>
      <c r="AC49" s="9"/>
    </row>
    <row r="50" spans="2:29" x14ac:dyDescent="0.3">
      <c r="B50" s="8"/>
      <c r="P50" s="9"/>
      <c r="S50" s="8"/>
      <c r="AC50" s="9"/>
    </row>
    <row r="51" spans="2:29" x14ac:dyDescent="0.3">
      <c r="B51" s="8"/>
      <c r="P51" s="9"/>
      <c r="S51" s="8"/>
      <c r="AC51" s="9"/>
    </row>
    <row r="52" spans="2:29" x14ac:dyDescent="0.3">
      <c r="B52" s="8"/>
      <c r="P52" s="9"/>
      <c r="S52" s="8"/>
      <c r="AC52" s="9"/>
    </row>
    <row r="53" spans="2:29" x14ac:dyDescent="0.3">
      <c r="B53" s="8"/>
      <c r="P53" s="9"/>
      <c r="S53" s="8"/>
      <c r="AC53" s="9"/>
    </row>
    <row r="54" spans="2:29" x14ac:dyDescent="0.3">
      <c r="B54" s="8"/>
      <c r="P54" s="9"/>
      <c r="S54" s="8"/>
      <c r="AC54" s="9"/>
    </row>
    <row r="55" spans="2:29" x14ac:dyDescent="0.3">
      <c r="B55" s="8"/>
      <c r="P55" s="9"/>
      <c r="S55" s="8"/>
      <c r="AC55" s="9"/>
    </row>
    <row r="56" spans="2:29" x14ac:dyDescent="0.3">
      <c r="B56" s="8"/>
      <c r="P56" s="9"/>
      <c r="S56" s="8"/>
      <c r="AC56" s="9"/>
    </row>
    <row r="57" spans="2:29" x14ac:dyDescent="0.3">
      <c r="B57" s="8"/>
      <c r="P57" s="9"/>
      <c r="S57" s="8"/>
      <c r="AC57" s="9"/>
    </row>
    <row r="58" spans="2:29" ht="15" thickBot="1" x14ac:dyDescent="0.35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" thickTop="1" x14ac:dyDescent="0.3">
      <c r="B59" s="8"/>
      <c r="P59" s="9"/>
    </row>
    <row r="60" spans="2:29" x14ac:dyDescent="0.3">
      <c r="B60" s="8"/>
      <c r="P60" s="9"/>
    </row>
    <row r="61" spans="2:29" x14ac:dyDescent="0.3">
      <c r="B61" s="8"/>
      <c r="P61" s="9"/>
    </row>
    <row r="62" spans="2:29" x14ac:dyDescent="0.3">
      <c r="B62" s="8"/>
      <c r="P62" s="9"/>
    </row>
    <row r="63" spans="2:29" x14ac:dyDescent="0.3">
      <c r="B63" s="8"/>
      <c r="P63" s="9"/>
    </row>
    <row r="64" spans="2:29" x14ac:dyDescent="0.3">
      <c r="B64" s="8"/>
      <c r="P64" s="9"/>
    </row>
    <row r="65" spans="2:31" x14ac:dyDescent="0.3">
      <c r="B65" s="8"/>
      <c r="P65" s="9"/>
    </row>
    <row r="66" spans="2:31" ht="16.5" customHeight="1" x14ac:dyDescent="0.3">
      <c r="B66" s="8"/>
      <c r="P66" s="9"/>
    </row>
    <row r="67" spans="2:31" x14ac:dyDescent="0.3">
      <c r="B67" s="8"/>
      <c r="P67" s="9"/>
    </row>
    <row r="68" spans="2:31" ht="15" thickBot="1" x14ac:dyDescent="0.35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2"/>
    </row>
    <row r="69" spans="2:31" ht="15" thickTop="1" x14ac:dyDescent="0.3"/>
    <row r="70" spans="2:31" ht="15" thickBot="1" x14ac:dyDescent="0.35"/>
    <row r="71" spans="2:31" ht="15" thickTop="1" x14ac:dyDescent="0.3"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/>
      <c r="S71" s="1"/>
      <c r="T71" s="2"/>
      <c r="U71" s="2"/>
      <c r="V71" s="2"/>
      <c r="W71" s="2"/>
      <c r="X71" s="2"/>
      <c r="Y71" s="2"/>
      <c r="Z71" s="2"/>
      <c r="AA71" s="2"/>
      <c r="AB71" s="2"/>
      <c r="AC71" s="3"/>
    </row>
    <row r="72" spans="2:31" s="6" customFormat="1" ht="61.5" customHeight="1" x14ac:dyDescent="0.3">
      <c r="B72" s="4"/>
      <c r="C72" s="73" t="s">
        <v>30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5"/>
      <c r="S72" s="4"/>
      <c r="T72" s="73" t="s">
        <v>50</v>
      </c>
      <c r="U72" s="73"/>
      <c r="V72" s="73"/>
      <c r="W72" s="73"/>
      <c r="X72" s="73"/>
      <c r="Y72" s="73"/>
      <c r="Z72" s="73"/>
      <c r="AA72" s="73"/>
      <c r="AB72" s="73"/>
      <c r="AC72" s="5"/>
      <c r="AE72" s="7"/>
    </row>
    <row r="73" spans="2:31" x14ac:dyDescent="0.3">
      <c r="B73" s="8"/>
      <c r="P73" s="9"/>
      <c r="S73" s="8"/>
      <c r="AC73" s="9"/>
    </row>
    <row r="74" spans="2:31" x14ac:dyDescent="0.3">
      <c r="B74" s="8"/>
      <c r="P74" s="9"/>
      <c r="S74" s="8"/>
      <c r="AC74" s="9"/>
    </row>
    <row r="75" spans="2:31" x14ac:dyDescent="0.3">
      <c r="B75" s="8"/>
      <c r="P75" s="9"/>
      <c r="S75" s="8"/>
      <c r="AC75" s="9"/>
    </row>
    <row r="76" spans="2:31" x14ac:dyDescent="0.3">
      <c r="B76" s="8"/>
      <c r="P76" s="9"/>
      <c r="S76" s="8"/>
      <c r="AC76" s="9"/>
    </row>
    <row r="77" spans="2:31" x14ac:dyDescent="0.3">
      <c r="B77" s="8"/>
      <c r="J77" s="63" t="s">
        <v>36</v>
      </c>
      <c r="N77" s="63" t="s">
        <v>36</v>
      </c>
      <c r="P77" s="9"/>
      <c r="S77" s="8"/>
      <c r="V77" s="14"/>
      <c r="AC77" s="9"/>
    </row>
    <row r="78" spans="2:31" x14ac:dyDescent="0.3">
      <c r="B78" s="8"/>
      <c r="I78" t="s">
        <v>1</v>
      </c>
      <c r="J78" s="13">
        <f>'szacunek rynku_05 2025'!I47/'szacunek rynku_05 2025'!I19</f>
        <v>0.62701669070391086</v>
      </c>
      <c r="M78" t="s">
        <v>24</v>
      </c>
      <c r="N78" s="13">
        <f>'szacunek rynku_05 2025'!I20/'szacunek rynku_05 2025'!$I$19</f>
        <v>0.17222835706655965</v>
      </c>
      <c r="P78" s="9"/>
      <c r="S78" s="8"/>
      <c r="V78" s="66"/>
      <c r="Z78" s="13"/>
      <c r="AC78" s="9"/>
    </row>
    <row r="79" spans="2:31" x14ac:dyDescent="0.3">
      <c r="B79" s="8"/>
      <c r="I79" t="s">
        <v>2</v>
      </c>
      <c r="J79" s="13">
        <f>1-J78</f>
        <v>0.37298330929608914</v>
      </c>
      <c r="M79" t="s">
        <v>23</v>
      </c>
      <c r="N79" s="13">
        <f>'szacunek rynku_05 2025'!I21/'szacunek rynku_05 2025'!$I$19</f>
        <v>0.30177813738663317</v>
      </c>
      <c r="P79" s="9"/>
      <c r="S79" s="8"/>
      <c r="V79" s="66"/>
      <c r="Z79" s="13"/>
      <c r="AC79" s="9"/>
    </row>
    <row r="80" spans="2:31" x14ac:dyDescent="0.3">
      <c r="B80" s="8"/>
      <c r="M80" t="s">
        <v>32</v>
      </c>
      <c r="N80" s="13">
        <f>'szacunek rynku_05 2025'!I22/'szacunek rynku_05 2025'!$I$19</f>
        <v>0.52599350554680724</v>
      </c>
      <c r="P80" s="9"/>
      <c r="S80" s="8"/>
      <c r="Z80" s="13"/>
      <c r="AC80" s="9"/>
    </row>
    <row r="81" spans="2:29" x14ac:dyDescent="0.3">
      <c r="B81" s="8"/>
      <c r="N81" s="13"/>
      <c r="P81" s="9"/>
      <c r="S81" s="8"/>
      <c r="AC81" s="9"/>
    </row>
    <row r="82" spans="2:29" x14ac:dyDescent="0.3">
      <c r="B82" s="8"/>
      <c r="P82" s="9"/>
      <c r="S82" s="8"/>
      <c r="AC82" s="9"/>
    </row>
    <row r="83" spans="2:29" x14ac:dyDescent="0.3">
      <c r="B83" s="8"/>
      <c r="P83" s="9"/>
      <c r="S83" s="8"/>
      <c r="AC83" s="9"/>
    </row>
    <row r="84" spans="2:29" x14ac:dyDescent="0.3">
      <c r="B84" s="8"/>
      <c r="P84" s="9"/>
      <c r="S84" s="8"/>
      <c r="AC84" s="9"/>
    </row>
    <row r="85" spans="2:29" x14ac:dyDescent="0.3">
      <c r="B85" s="8"/>
      <c r="P85" s="9"/>
      <c r="S85" s="8"/>
      <c r="AC85" s="9"/>
    </row>
    <row r="86" spans="2:29" x14ac:dyDescent="0.3">
      <c r="B86" s="8"/>
      <c r="P86" s="9"/>
      <c r="S86" s="8"/>
      <c r="AC86" s="9"/>
    </row>
    <row r="87" spans="2:29" x14ac:dyDescent="0.3">
      <c r="B87" s="8"/>
      <c r="P87" s="9"/>
      <c r="S87" s="8"/>
      <c r="AC87" s="9"/>
    </row>
    <row r="88" spans="2:29" x14ac:dyDescent="0.3">
      <c r="B88" s="8"/>
      <c r="P88" s="9"/>
      <c r="S88" s="8"/>
      <c r="AC88" s="9"/>
    </row>
    <row r="89" spans="2:29" x14ac:dyDescent="0.3">
      <c r="B89" s="8"/>
      <c r="P89" s="9"/>
      <c r="S89" s="8"/>
      <c r="AC89" s="9"/>
    </row>
    <row r="90" spans="2:29" ht="15" thickBot="1" x14ac:dyDescent="0.35">
      <c r="B90" s="8"/>
      <c r="P90" s="9"/>
      <c r="S90" s="10"/>
      <c r="T90" s="11"/>
      <c r="U90" s="11"/>
      <c r="V90" s="11"/>
      <c r="W90" s="11"/>
      <c r="X90" s="11"/>
      <c r="Y90" s="11"/>
      <c r="Z90" s="11"/>
      <c r="AA90" s="11"/>
      <c r="AB90" s="11"/>
      <c r="AC90" s="12"/>
    </row>
    <row r="91" spans="2:29" ht="15" thickTop="1" x14ac:dyDescent="0.3">
      <c r="B91" s="8"/>
      <c r="P91" s="9"/>
    </row>
    <row r="92" spans="2:29" x14ac:dyDescent="0.3">
      <c r="B92" s="8"/>
      <c r="P92" s="9"/>
    </row>
    <row r="93" spans="2:29" x14ac:dyDescent="0.3">
      <c r="B93" s="8"/>
      <c r="P93" s="9"/>
    </row>
    <row r="94" spans="2:29" x14ac:dyDescent="0.3">
      <c r="B94" s="8"/>
      <c r="P94" s="9"/>
    </row>
    <row r="95" spans="2:29" x14ac:dyDescent="0.3">
      <c r="B95" s="8"/>
      <c r="P95" s="9"/>
    </row>
    <row r="96" spans="2:29" x14ac:dyDescent="0.3">
      <c r="B96" s="8"/>
      <c r="P96" s="9"/>
    </row>
    <row r="97" spans="2:31" x14ac:dyDescent="0.3">
      <c r="B97" s="8"/>
      <c r="P97" s="9"/>
    </row>
    <row r="98" spans="2:31" x14ac:dyDescent="0.3">
      <c r="B98" s="8"/>
      <c r="P98" s="9"/>
    </row>
    <row r="99" spans="2:31" x14ac:dyDescent="0.3">
      <c r="B99" s="8"/>
      <c r="P99" s="9"/>
    </row>
    <row r="100" spans="2:31" ht="16.5" customHeight="1" x14ac:dyDescent="0.3">
      <c r="B100" s="8"/>
      <c r="P100" s="9"/>
    </row>
    <row r="101" spans="2:31" x14ac:dyDescent="0.3">
      <c r="B101" s="8"/>
      <c r="P101" s="9"/>
    </row>
    <row r="102" spans="2:31" ht="15" thickBot="1" x14ac:dyDescent="0.35"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2"/>
    </row>
    <row r="103" spans="2:31" ht="15" thickTop="1" x14ac:dyDescent="0.3"/>
    <row r="104" spans="2:31" ht="15" thickBot="1" x14ac:dyDescent="0.35"/>
    <row r="105" spans="2:31" ht="15" thickTop="1" x14ac:dyDescent="0.3"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3"/>
    </row>
    <row r="106" spans="2:31" s="6" customFormat="1" ht="61.5" customHeight="1" x14ac:dyDescent="0.3">
      <c r="B106" s="4"/>
      <c r="C106" s="73" t="s">
        <v>31</v>
      </c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5"/>
      <c r="T106" s="67"/>
      <c r="U106" s="67"/>
      <c r="V106" s="67"/>
      <c r="W106" s="67"/>
      <c r="X106" s="67"/>
      <c r="Y106" s="67"/>
      <c r="Z106" s="67"/>
      <c r="AA106" s="67"/>
      <c r="AB106" s="67"/>
      <c r="AE106" s="7"/>
    </row>
    <row r="107" spans="2:31" x14ac:dyDescent="0.3">
      <c r="B107" s="8"/>
      <c r="P107" s="9"/>
    </row>
    <row r="108" spans="2:31" x14ac:dyDescent="0.3">
      <c r="B108" s="8"/>
      <c r="P108" s="9"/>
    </row>
    <row r="109" spans="2:31" x14ac:dyDescent="0.3">
      <c r="B109" s="8"/>
      <c r="P109" s="9"/>
    </row>
    <row r="110" spans="2:31" x14ac:dyDescent="0.3">
      <c r="B110" s="8"/>
      <c r="P110" s="9"/>
    </row>
    <row r="111" spans="2:31" x14ac:dyDescent="0.3">
      <c r="B111" s="8"/>
      <c r="J111" s="63" t="s">
        <v>36</v>
      </c>
      <c r="N111" s="63" t="s">
        <v>36</v>
      </c>
      <c r="P111" s="9"/>
      <c r="V111" s="14"/>
    </row>
    <row r="112" spans="2:31" x14ac:dyDescent="0.3">
      <c r="B112" s="8"/>
      <c r="I112" t="s">
        <v>1</v>
      </c>
      <c r="J112" s="64">
        <f>'szacunek rynku_05 2025'!I55/'szacunek rynku_05 2025'!I27</f>
        <v>0.85456202563759287</v>
      </c>
      <c r="M112" t="s">
        <v>25</v>
      </c>
      <c r="N112" s="64">
        <f>('szacunek rynku_05 2025'!I11+'szacunek rynku_05 2025'!I12)/'szacunek rynku_05 2025'!I27</f>
        <v>0.56639800906686388</v>
      </c>
      <c r="P112" s="9"/>
      <c r="V112" s="66"/>
      <c r="Z112" s="13"/>
    </row>
    <row r="113" spans="2:26" x14ac:dyDescent="0.3">
      <c r="B113" s="8"/>
      <c r="I113" t="s">
        <v>2</v>
      </c>
      <c r="J113" s="64">
        <f>1-J112</f>
        <v>0.14543797436240713</v>
      </c>
      <c r="M113" t="s">
        <v>26</v>
      </c>
      <c r="N113" s="64">
        <f>'szacunek rynku_05 2025'!I13/'szacunek rynku_05 2025'!I27</f>
        <v>0.1641889453120782</v>
      </c>
      <c r="P113" s="9"/>
      <c r="V113" s="66"/>
      <c r="Z113" s="13"/>
    </row>
    <row r="114" spans="2:26" x14ac:dyDescent="0.3">
      <c r="B114" s="8"/>
      <c r="M114" t="s">
        <v>27</v>
      </c>
      <c r="N114" s="64">
        <f>'szacunek rynku_05 2025'!I19/'szacunek rynku_05 2025'!I27</f>
        <v>0.22528974366769555</v>
      </c>
      <c r="P114" s="9"/>
      <c r="Z114" s="13"/>
    </row>
    <row r="115" spans="2:26" x14ac:dyDescent="0.3">
      <c r="B115" s="8"/>
      <c r="M115" t="s">
        <v>7</v>
      </c>
      <c r="N115" s="64">
        <f>'szacunek rynku_05 2025'!I23/'szacunek rynku_05 2025'!I27</f>
        <v>1.0944713119168788E-2</v>
      </c>
      <c r="P115" s="9"/>
    </row>
    <row r="116" spans="2:26" x14ac:dyDescent="0.3">
      <c r="B116" s="8"/>
      <c r="M116" t="s">
        <v>22</v>
      </c>
      <c r="N116" s="64">
        <f>('szacunek rynku_05 2025'!I18+'szacunek rynku_05 2025'!I24+'szacunek rynku_05 2025'!I25)/'szacunek rynku_05 2025'!I27</f>
        <v>3.3178588834193737E-2</v>
      </c>
      <c r="P116" s="9"/>
    </row>
    <row r="117" spans="2:26" x14ac:dyDescent="0.3">
      <c r="B117" s="8"/>
      <c r="P117" s="9"/>
    </row>
    <row r="118" spans="2:26" x14ac:dyDescent="0.3">
      <c r="B118" s="8"/>
      <c r="P118" s="9"/>
    </row>
    <row r="119" spans="2:26" x14ac:dyDescent="0.3">
      <c r="B119" s="8"/>
      <c r="P119" s="9"/>
    </row>
    <row r="120" spans="2:26" x14ac:dyDescent="0.3">
      <c r="B120" s="8"/>
      <c r="P120" s="9"/>
    </row>
    <row r="121" spans="2:26" x14ac:dyDescent="0.3">
      <c r="B121" s="8"/>
      <c r="P121" s="9"/>
    </row>
    <row r="122" spans="2:26" x14ac:dyDescent="0.3">
      <c r="B122" s="8"/>
      <c r="P122" s="9"/>
    </row>
    <row r="123" spans="2:26" x14ac:dyDescent="0.3">
      <c r="B123" s="8"/>
      <c r="P123" s="9"/>
    </row>
    <row r="124" spans="2:26" x14ac:dyDescent="0.3">
      <c r="B124" s="8"/>
      <c r="P124" s="9"/>
    </row>
    <row r="125" spans="2:26" x14ac:dyDescent="0.3">
      <c r="B125" s="8"/>
      <c r="P125" s="9"/>
    </row>
    <row r="126" spans="2:26" x14ac:dyDescent="0.3">
      <c r="B126" s="8"/>
      <c r="P126" s="9"/>
    </row>
    <row r="127" spans="2:26" x14ac:dyDescent="0.3">
      <c r="B127" s="8"/>
      <c r="P127" s="9"/>
    </row>
    <row r="128" spans="2:26" x14ac:dyDescent="0.3">
      <c r="B128" s="8"/>
      <c r="P128" s="9"/>
    </row>
    <row r="129" spans="2:16" x14ac:dyDescent="0.3">
      <c r="B129" s="8"/>
      <c r="P129" s="9"/>
    </row>
    <row r="130" spans="2:16" x14ac:dyDescent="0.3">
      <c r="B130" s="8"/>
      <c r="P130" s="9"/>
    </row>
    <row r="131" spans="2:16" x14ac:dyDescent="0.3">
      <c r="B131" s="8"/>
      <c r="P131" s="9"/>
    </row>
    <row r="132" spans="2:16" x14ac:dyDescent="0.3">
      <c r="B132" s="8"/>
      <c r="P132" s="9"/>
    </row>
    <row r="133" spans="2:16" x14ac:dyDescent="0.3">
      <c r="B133" s="8"/>
      <c r="P133" s="9"/>
    </row>
    <row r="134" spans="2:16" ht="16.5" customHeight="1" thickBot="1" x14ac:dyDescent="0.35">
      <c r="B134" s="10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2"/>
    </row>
    <row r="135" spans="2:16" ht="15" thickTop="1" x14ac:dyDescent="0.3"/>
  </sheetData>
  <mergeCells count="7">
    <mergeCell ref="C106:O106"/>
    <mergeCell ref="C5:O5"/>
    <mergeCell ref="T5:AB5"/>
    <mergeCell ref="C38:O38"/>
    <mergeCell ref="T38:AB38"/>
    <mergeCell ref="C72:O72"/>
    <mergeCell ref="T72:AB72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abSelected="1" zoomScaleNormal="100" workbookViewId="0">
      <selection activeCell="O2" sqref="O2:P2"/>
    </sheetView>
  </sheetViews>
  <sheetFormatPr defaultColWidth="9.109375" defaultRowHeight="13.2" x14ac:dyDescent="0.25"/>
  <cols>
    <col min="1" max="1" width="6.33203125" style="20" customWidth="1"/>
    <col min="2" max="2" width="35.88671875" style="22" customWidth="1"/>
    <col min="3" max="3" width="10.5546875" style="22" bestFit="1" customWidth="1"/>
    <col min="4" max="4" width="10.5546875" style="22" customWidth="1"/>
    <col min="5" max="5" width="2.5546875" style="22" customWidth="1"/>
    <col min="6" max="6" width="10" style="20" bestFit="1" customWidth="1"/>
    <col min="7" max="7" width="2.5546875" style="22" customWidth="1"/>
    <col min="8" max="8" width="10.5546875" style="22" bestFit="1" customWidth="1"/>
    <col min="9" max="9" width="10.5546875" style="22" customWidth="1"/>
    <col min="10" max="10" width="2.5546875" style="22" customWidth="1"/>
    <col min="11" max="11" width="10" style="20" bestFit="1" customWidth="1"/>
    <col min="12" max="12" width="2.5546875" style="22" customWidth="1"/>
    <col min="13" max="13" width="10.5546875" style="22" bestFit="1" customWidth="1"/>
    <col min="14" max="14" width="10.5546875" style="22" customWidth="1"/>
    <col min="15" max="15" width="2.5546875" style="22" customWidth="1"/>
    <col min="16" max="16" width="10" style="20" bestFit="1" customWidth="1"/>
    <col min="17" max="17" width="9" style="22" customWidth="1"/>
    <col min="18" max="18" width="10.44140625" style="22" customWidth="1"/>
    <col min="19" max="21" width="9.109375" style="22"/>
    <col min="22" max="22" width="8.44140625" style="22" customWidth="1"/>
    <col min="23" max="23" width="2.44140625" style="22" customWidth="1"/>
    <col min="24" max="16384" width="9.109375" style="22"/>
  </cols>
  <sheetData>
    <row r="2" spans="2:16" ht="21" x14ac:dyDescent="0.4">
      <c r="B2" s="76" t="s">
        <v>52</v>
      </c>
    </row>
    <row r="4" spans="2:16" ht="17.399999999999999" x14ac:dyDescent="0.25">
      <c r="B4" s="21" t="s">
        <v>19</v>
      </c>
    </row>
    <row r="5" spans="2:16" ht="14.25" customHeight="1" x14ac:dyDescent="0.25"/>
    <row r="6" spans="2:16" ht="14.25" customHeight="1" x14ac:dyDescent="0.25"/>
    <row r="7" spans="2:16" ht="45" customHeight="1" x14ac:dyDescent="0.25">
      <c r="C7" s="74" t="str">
        <f>C$35</f>
        <v>I-IV 2025 vs I-IV 2024</v>
      </c>
      <c r="D7" s="74"/>
      <c r="E7" s="74"/>
      <c r="F7" s="74"/>
      <c r="H7" s="74" t="str">
        <f>H$35</f>
        <v>V 2025 vs V 2024</v>
      </c>
      <c r="I7" s="74"/>
      <c r="J7" s="74"/>
      <c r="K7" s="74"/>
      <c r="M7" s="74" t="str">
        <f>M$35</f>
        <v>I-V 2025 vs I-V 2024</v>
      </c>
      <c r="N7" s="74"/>
      <c r="O7" s="74"/>
      <c r="P7" s="74"/>
    </row>
    <row r="8" spans="2:16" x14ac:dyDescent="0.25">
      <c r="F8" s="22"/>
      <c r="K8" s="22"/>
      <c r="P8" s="22"/>
    </row>
    <row r="9" spans="2:16" ht="20.399999999999999" x14ac:dyDescent="0.25">
      <c r="C9" s="25" t="str">
        <f>C$37</f>
        <v>I-IV 2024</v>
      </c>
      <c r="D9" s="25" t="str">
        <f>D$37</f>
        <v>I-IV 2025</v>
      </c>
      <c r="F9" s="25" t="str">
        <f>F$37</f>
        <v>I-IV 25/
I-IV 24</v>
      </c>
      <c r="H9" s="25" t="str">
        <f>H$37</f>
        <v>V 2024</v>
      </c>
      <c r="I9" s="25" t="str">
        <f>I$37</f>
        <v>V 2025</v>
      </c>
      <c r="K9" s="25" t="str">
        <f>K$37</f>
        <v>V 2025/
V 2024</v>
      </c>
      <c r="M9" s="25" t="str">
        <f>M$37</f>
        <v>I-V 2024</v>
      </c>
      <c r="N9" s="25" t="str">
        <f>N$37</f>
        <v>I-V 2025</v>
      </c>
      <c r="P9" s="25" t="str">
        <f>P$37</f>
        <v>I-V 25/
I-V 24</v>
      </c>
    </row>
    <row r="10" spans="2:16" x14ac:dyDescent="0.25">
      <c r="B10" s="27" t="s">
        <v>14</v>
      </c>
      <c r="C10" s="68">
        <f t="shared" ref="C10:D25" si="0">C38+C65</f>
        <v>25984.949761480231</v>
      </c>
      <c r="D10" s="68">
        <f t="shared" si="0"/>
        <v>27082.822996003571</v>
      </c>
      <c r="E10" s="54"/>
      <c r="F10" s="55">
        <f t="shared" ref="F10:F25" si="1">IF(C10,D10/C10-1,"")</f>
        <v>4.2250350475982579E-2</v>
      </c>
      <c r="G10" s="54"/>
      <c r="H10" s="68">
        <f t="shared" ref="H10:I25" si="2">H38+H65</f>
        <v>6381.2550714059425</v>
      </c>
      <c r="I10" s="68">
        <f t="shared" si="2"/>
        <v>7065.7000655162446</v>
      </c>
      <c r="J10" s="54"/>
      <c r="K10" s="55">
        <f t="shared" ref="K10:K25" si="3">IF(H10,I10/H10-1,"")</f>
        <v>0.10725867975051862</v>
      </c>
      <c r="L10" s="54"/>
      <c r="M10" s="68">
        <f>SUM(M11:M12,M14:M18)</f>
        <v>32366.204832886178</v>
      </c>
      <c r="N10" s="68">
        <f>SUM(N11:N12,N14:N18)</f>
        <v>34148.523061519816</v>
      </c>
      <c r="O10" s="54"/>
      <c r="P10" s="55">
        <f t="shared" ref="P10:P25" si="4">IF(M10,N10/M10-1,"")</f>
        <v>5.5067260367291704E-2</v>
      </c>
    </row>
    <row r="11" spans="2:16" x14ac:dyDescent="0.25">
      <c r="B11" s="56" t="s">
        <v>0</v>
      </c>
      <c r="C11" s="69">
        <f t="shared" si="0"/>
        <v>16655.709022517382</v>
      </c>
      <c r="D11" s="69">
        <f t="shared" si="0"/>
        <v>17967.578395343167</v>
      </c>
      <c r="E11" s="20"/>
      <c r="F11" s="28">
        <f t="shared" si="1"/>
        <v>7.8763946407338636E-2</v>
      </c>
      <c r="G11" s="20"/>
      <c r="H11" s="69">
        <f t="shared" si="2"/>
        <v>4080.0821627606629</v>
      </c>
      <c r="I11" s="69">
        <f t="shared" si="2"/>
        <v>4771.9297201460404</v>
      </c>
      <c r="J11" s="20"/>
      <c r="K11" s="28">
        <f t="shared" si="3"/>
        <v>0.16956706502137209</v>
      </c>
      <c r="L11" s="20"/>
      <c r="M11" s="69">
        <f>C11+H11</f>
        <v>20735.791185278045</v>
      </c>
      <c r="N11" s="69">
        <f>D11+I11</f>
        <v>22739.508115489207</v>
      </c>
      <c r="O11" s="20"/>
      <c r="P11" s="28">
        <f t="shared" si="4"/>
        <v>9.6630840478069358E-2</v>
      </c>
    </row>
    <row r="12" spans="2:16" x14ac:dyDescent="0.25">
      <c r="B12" s="56" t="s">
        <v>8</v>
      </c>
      <c r="C12" s="69">
        <f t="shared" si="0"/>
        <v>2687.0013407004149</v>
      </c>
      <c r="D12" s="69">
        <f t="shared" si="0"/>
        <v>2602.8751058096209</v>
      </c>
      <c r="E12" s="20"/>
      <c r="F12" s="28">
        <f t="shared" si="1"/>
        <v>-3.1308594311629578E-2</v>
      </c>
      <c r="G12" s="20"/>
      <c r="H12" s="69">
        <f t="shared" si="2"/>
        <v>652.52172796008438</v>
      </c>
      <c r="I12" s="69">
        <f t="shared" si="2"/>
        <v>628.83452770007898</v>
      </c>
      <c r="J12" s="20"/>
      <c r="K12" s="28">
        <f t="shared" si="3"/>
        <v>-3.6301013813067051E-2</v>
      </c>
      <c r="L12" s="20"/>
      <c r="M12" s="69">
        <f>C12+H12</f>
        <v>3339.5230686604991</v>
      </c>
      <c r="N12" s="69">
        <f>D12+I12</f>
        <v>3231.7096335096999</v>
      </c>
      <c r="O12" s="20"/>
      <c r="P12" s="28">
        <f t="shared" si="4"/>
        <v>-3.2284081569181611E-2</v>
      </c>
    </row>
    <row r="13" spans="2:16" x14ac:dyDescent="0.25">
      <c r="B13" s="29" t="s">
        <v>9</v>
      </c>
      <c r="C13" s="70">
        <f t="shared" si="0"/>
        <v>6317.591216462838</v>
      </c>
      <c r="D13" s="70">
        <f t="shared" si="0"/>
        <v>6200.7468881543628</v>
      </c>
      <c r="F13" s="59">
        <f t="shared" si="1"/>
        <v>-1.8495075782047121E-2</v>
      </c>
      <c r="H13" s="70">
        <f t="shared" si="2"/>
        <v>1563.6081608990416</v>
      </c>
      <c r="I13" s="70">
        <f t="shared" si="2"/>
        <v>1565.5877519660428</v>
      </c>
      <c r="K13" s="59">
        <f t="shared" si="3"/>
        <v>1.2660403779569673E-3</v>
      </c>
      <c r="M13" s="70">
        <f>M14+M15+M16+M17</f>
        <v>7881.1993773618806</v>
      </c>
      <c r="N13" s="70">
        <f>N14+N15+N16+N17</f>
        <v>7766.3346401204053</v>
      </c>
      <c r="P13" s="59">
        <f t="shared" si="4"/>
        <v>-1.4574524985551673E-2</v>
      </c>
    </row>
    <row r="14" spans="2:16" x14ac:dyDescent="0.25">
      <c r="B14" s="57" t="s">
        <v>10</v>
      </c>
      <c r="C14" s="69">
        <f t="shared" si="0"/>
        <v>1363.5128824928322</v>
      </c>
      <c r="D14" s="69">
        <f t="shared" si="0"/>
        <v>1408.3420740918925</v>
      </c>
      <c r="E14" s="20"/>
      <c r="F14" s="28">
        <f t="shared" si="1"/>
        <v>3.2877717676639495E-2</v>
      </c>
      <c r="G14" s="20"/>
      <c r="H14" s="69">
        <f t="shared" si="2"/>
        <v>357.78192046810472</v>
      </c>
      <c r="I14" s="69">
        <f t="shared" si="2"/>
        <v>332.65130331992799</v>
      </c>
      <c r="J14" s="20"/>
      <c r="K14" s="28">
        <f t="shared" si="3"/>
        <v>-7.0240042077299614E-2</v>
      </c>
      <c r="L14" s="20"/>
      <c r="M14" s="69">
        <f t="shared" ref="M14:N18" si="5">C14+H14</f>
        <v>1721.294802960937</v>
      </c>
      <c r="N14" s="69">
        <f t="shared" si="5"/>
        <v>1740.9933774118206</v>
      </c>
      <c r="O14" s="20"/>
      <c r="P14" s="28">
        <f t="shared" si="4"/>
        <v>1.1444044574467238E-2</v>
      </c>
    </row>
    <row r="15" spans="2:16" x14ac:dyDescent="0.25">
      <c r="B15" s="57" t="s">
        <v>4</v>
      </c>
      <c r="C15" s="69">
        <f t="shared" si="0"/>
        <v>3247.9836119428878</v>
      </c>
      <c r="D15" s="69">
        <f t="shared" si="0"/>
        <v>2799.1931829953137</v>
      </c>
      <c r="E15" s="20"/>
      <c r="F15" s="28">
        <f t="shared" si="1"/>
        <v>-0.13817509032292052</v>
      </c>
      <c r="G15" s="20"/>
      <c r="H15" s="69">
        <f t="shared" si="2"/>
        <v>806.06693896854813</v>
      </c>
      <c r="I15" s="69">
        <f t="shared" si="2"/>
        <v>760.58240487393061</v>
      </c>
      <c r="J15" s="20"/>
      <c r="K15" s="28">
        <f t="shared" si="3"/>
        <v>-5.6427738064558253E-2</v>
      </c>
      <c r="L15" s="20"/>
      <c r="M15" s="69">
        <f t="shared" si="5"/>
        <v>4054.0505509114359</v>
      </c>
      <c r="N15" s="69">
        <f t="shared" si="5"/>
        <v>3559.7755878692442</v>
      </c>
      <c r="O15" s="20"/>
      <c r="P15" s="28">
        <f t="shared" si="4"/>
        <v>-0.12192126290360839</v>
      </c>
    </row>
    <row r="16" spans="2:16" x14ac:dyDescent="0.25">
      <c r="B16" s="57" t="s">
        <v>11</v>
      </c>
      <c r="C16" s="69">
        <f t="shared" si="0"/>
        <v>1255.6237007177062</v>
      </c>
      <c r="D16" s="69">
        <f t="shared" si="0"/>
        <v>1369.2795029177569</v>
      </c>
      <c r="E16" s="20"/>
      <c r="F16" s="28">
        <f t="shared" si="1"/>
        <v>9.0517407512366699E-2</v>
      </c>
      <c r="G16" s="20"/>
      <c r="H16" s="69">
        <f t="shared" si="2"/>
        <v>308.91511793864214</v>
      </c>
      <c r="I16" s="69">
        <f t="shared" si="2"/>
        <v>348.87474879039269</v>
      </c>
      <c r="J16" s="20"/>
      <c r="K16" s="28">
        <f t="shared" si="3"/>
        <v>0.12935472733868436</v>
      </c>
      <c r="L16" s="20"/>
      <c r="M16" s="69">
        <f t="shared" si="5"/>
        <v>1564.5388186563484</v>
      </c>
      <c r="N16" s="69">
        <f t="shared" si="5"/>
        <v>1718.1542517081496</v>
      </c>
      <c r="O16" s="20"/>
      <c r="P16" s="28">
        <f t="shared" si="4"/>
        <v>9.8185760059139149E-2</v>
      </c>
    </row>
    <row r="17" spans="2:16" x14ac:dyDescent="0.25">
      <c r="B17" s="57" t="s">
        <v>6</v>
      </c>
      <c r="C17" s="69">
        <f t="shared" si="0"/>
        <v>450.4710213094117</v>
      </c>
      <c r="D17" s="69">
        <f t="shared" si="0"/>
        <v>623.93212814939932</v>
      </c>
      <c r="E17" s="20"/>
      <c r="F17" s="28">
        <f t="shared" si="1"/>
        <v>0.38506607225427647</v>
      </c>
      <c r="G17" s="20"/>
      <c r="H17" s="69">
        <f t="shared" si="2"/>
        <v>90.844183523746665</v>
      </c>
      <c r="I17" s="69">
        <f t="shared" si="2"/>
        <v>123.47929498179151</v>
      </c>
      <c r="J17" s="20"/>
      <c r="K17" s="28">
        <f t="shared" si="3"/>
        <v>0.35924271859974422</v>
      </c>
      <c r="L17" s="20"/>
      <c r="M17" s="69">
        <f t="shared" si="5"/>
        <v>541.3152048331583</v>
      </c>
      <c r="N17" s="69">
        <f t="shared" si="5"/>
        <v>747.41142313119087</v>
      </c>
      <c r="O17" s="20"/>
      <c r="P17" s="28">
        <f t="shared" si="4"/>
        <v>0.38073236527977183</v>
      </c>
    </row>
    <row r="18" spans="2:16" x14ac:dyDescent="0.25">
      <c r="B18" s="56" t="s">
        <v>12</v>
      </c>
      <c r="C18" s="69">
        <f t="shared" si="0"/>
        <v>324.6481817996002</v>
      </c>
      <c r="D18" s="69">
        <f t="shared" si="0"/>
        <v>311.62260669641728</v>
      </c>
      <c r="E18" s="20"/>
      <c r="F18" s="28">
        <f t="shared" si="1"/>
        <v>-4.0122125529793884E-2</v>
      </c>
      <c r="G18" s="20"/>
      <c r="H18" s="69">
        <f t="shared" si="2"/>
        <v>85.043019786154645</v>
      </c>
      <c r="I18" s="69">
        <f t="shared" si="2"/>
        <v>99.348065704083453</v>
      </c>
      <c r="J18" s="20"/>
      <c r="K18" s="28">
        <f t="shared" si="3"/>
        <v>0.16820952447243331</v>
      </c>
      <c r="L18" s="20"/>
      <c r="M18" s="69">
        <f t="shared" si="5"/>
        <v>409.69120158575481</v>
      </c>
      <c r="N18" s="69">
        <f t="shared" si="5"/>
        <v>410.97067240050075</v>
      </c>
      <c r="O18" s="20"/>
      <c r="P18" s="28">
        <f t="shared" si="4"/>
        <v>3.1230126734320685E-3</v>
      </c>
    </row>
    <row r="19" spans="2:16" x14ac:dyDescent="0.25">
      <c r="B19" s="27" t="s">
        <v>27</v>
      </c>
      <c r="C19" s="68">
        <f t="shared" si="0"/>
        <v>8191.2847785272206</v>
      </c>
      <c r="D19" s="68">
        <f t="shared" si="0"/>
        <v>8123.2553237255788</v>
      </c>
      <c r="E19" s="54"/>
      <c r="F19" s="19">
        <f t="shared" si="1"/>
        <v>-8.3051019029365403E-3</v>
      </c>
      <c r="G19" s="54"/>
      <c r="H19" s="68">
        <f t="shared" si="2"/>
        <v>2027.2719880092213</v>
      </c>
      <c r="I19" s="68">
        <f t="shared" si="2"/>
        <v>2148.2010415458044</v>
      </c>
      <c r="J19" s="54"/>
      <c r="K19" s="19">
        <f t="shared" si="3"/>
        <v>5.9651124393690802E-2</v>
      </c>
      <c r="L19" s="54"/>
      <c r="M19" s="68">
        <f>SUM(M20:M22)</f>
        <v>10218.556766536442</v>
      </c>
      <c r="N19" s="68">
        <f>SUM(N20:N22)</f>
        <v>10271.456365271384</v>
      </c>
      <c r="O19" s="54"/>
      <c r="P19" s="19">
        <f t="shared" si="4"/>
        <v>5.1768170342976205E-3</v>
      </c>
    </row>
    <row r="20" spans="2:16" x14ac:dyDescent="0.25">
      <c r="B20" s="56" t="s">
        <v>24</v>
      </c>
      <c r="C20" s="69">
        <f t="shared" si="0"/>
        <v>1677.0761371674494</v>
      </c>
      <c r="D20" s="69">
        <f t="shared" si="0"/>
        <v>1517.0834176805572</v>
      </c>
      <c r="E20" s="20"/>
      <c r="F20" s="28">
        <f t="shared" si="1"/>
        <v>-9.5399794881773747E-2</v>
      </c>
      <c r="G20" s="20"/>
      <c r="H20" s="69">
        <f t="shared" si="2"/>
        <v>459.09752253217408</v>
      </c>
      <c r="I20" s="69">
        <f t="shared" si="2"/>
        <v>369.98113603410616</v>
      </c>
      <c r="J20" s="20"/>
      <c r="K20" s="28">
        <f t="shared" si="3"/>
        <v>-0.19411210499795839</v>
      </c>
      <c r="L20" s="20"/>
      <c r="M20" s="69">
        <f t="shared" ref="M20:N25" si="6">C20+H20</f>
        <v>2136.1736596996234</v>
      </c>
      <c r="N20" s="69">
        <f t="shared" si="6"/>
        <v>1887.0645537146634</v>
      </c>
      <c r="O20" s="20"/>
      <c r="P20" s="28">
        <f t="shared" si="4"/>
        <v>-0.11661463236092351</v>
      </c>
    </row>
    <row r="21" spans="2:16" x14ac:dyDescent="0.25">
      <c r="B21" s="56" t="s">
        <v>23</v>
      </c>
      <c r="C21" s="69">
        <f t="shared" si="0"/>
        <v>1867.5624939837539</v>
      </c>
      <c r="D21" s="69">
        <f t="shared" si="0"/>
        <v>2369.852057268803</v>
      </c>
      <c r="E21" s="20"/>
      <c r="F21" s="28">
        <f t="shared" si="1"/>
        <v>0.2689546212794196</v>
      </c>
      <c r="G21" s="20"/>
      <c r="H21" s="69">
        <f t="shared" si="2"/>
        <v>483.49672075179456</v>
      </c>
      <c r="I21" s="69">
        <f t="shared" si="2"/>
        <v>648.28010904971825</v>
      </c>
      <c r="J21" s="20"/>
      <c r="K21" s="28">
        <f t="shared" si="3"/>
        <v>0.34081593778278396</v>
      </c>
      <c r="L21" s="20"/>
      <c r="M21" s="69">
        <f t="shared" si="6"/>
        <v>2351.0592147355483</v>
      </c>
      <c r="N21" s="69">
        <f t="shared" si="6"/>
        <v>3018.1321663185213</v>
      </c>
      <c r="O21" s="20"/>
      <c r="P21" s="28">
        <f t="shared" si="4"/>
        <v>0.28373294360346701</v>
      </c>
    </row>
    <row r="22" spans="2:16" x14ac:dyDescent="0.25">
      <c r="B22" s="56" t="s">
        <v>13</v>
      </c>
      <c r="C22" s="69">
        <f t="shared" si="0"/>
        <v>4646.6461473760173</v>
      </c>
      <c r="D22" s="69">
        <f t="shared" si="0"/>
        <v>4236.3198487762184</v>
      </c>
      <c r="E22" s="20"/>
      <c r="F22" s="28">
        <f t="shared" si="1"/>
        <v>-8.8305906149430458E-2</v>
      </c>
      <c r="G22" s="20"/>
      <c r="H22" s="69">
        <f t="shared" si="2"/>
        <v>1084.6777447252528</v>
      </c>
      <c r="I22" s="69">
        <f t="shared" si="2"/>
        <v>1129.9397964619802</v>
      </c>
      <c r="J22" s="20"/>
      <c r="K22" s="28">
        <f t="shared" si="3"/>
        <v>4.1728570496477158E-2</v>
      </c>
      <c r="L22" s="20"/>
      <c r="M22" s="69">
        <f t="shared" si="6"/>
        <v>5731.3238921012698</v>
      </c>
      <c r="N22" s="69">
        <f t="shared" si="6"/>
        <v>5366.2596452381986</v>
      </c>
      <c r="O22" s="20"/>
      <c r="P22" s="28">
        <f t="shared" si="4"/>
        <v>-6.369632108319534E-2</v>
      </c>
    </row>
    <row r="23" spans="2:16" x14ac:dyDescent="0.25">
      <c r="B23" s="27" t="s">
        <v>7</v>
      </c>
      <c r="C23" s="68">
        <f t="shared" si="0"/>
        <v>281.51620855692119</v>
      </c>
      <c r="D23" s="68">
        <f t="shared" si="0"/>
        <v>381.37662220517529</v>
      </c>
      <c r="E23" s="54"/>
      <c r="F23" s="19">
        <f t="shared" si="1"/>
        <v>0.35472349588731711</v>
      </c>
      <c r="G23" s="54"/>
      <c r="H23" s="68">
        <f t="shared" si="2"/>
        <v>88.657548857140398</v>
      </c>
      <c r="I23" s="68">
        <f t="shared" si="2"/>
        <v>104.36091647695253</v>
      </c>
      <c r="J23" s="54"/>
      <c r="K23" s="19">
        <f t="shared" si="3"/>
        <v>0.17712386392630797</v>
      </c>
      <c r="L23" s="54"/>
      <c r="M23" s="68">
        <f t="shared" si="6"/>
        <v>370.17375741406158</v>
      </c>
      <c r="N23" s="68">
        <f t="shared" si="6"/>
        <v>485.73753868212782</v>
      </c>
      <c r="O23" s="54"/>
      <c r="P23" s="19">
        <f t="shared" si="4"/>
        <v>0.31218793594490601</v>
      </c>
    </row>
    <row r="24" spans="2:16" x14ac:dyDescent="0.25">
      <c r="B24" s="27" t="s">
        <v>15</v>
      </c>
      <c r="C24" s="68">
        <f t="shared" si="0"/>
        <v>424.52955286876812</v>
      </c>
      <c r="D24" s="68">
        <f t="shared" si="0"/>
        <v>440.32649763724305</v>
      </c>
      <c r="E24" s="54"/>
      <c r="F24" s="19">
        <f t="shared" si="1"/>
        <v>3.721047135994815E-2</v>
      </c>
      <c r="G24" s="54"/>
      <c r="H24" s="68">
        <f t="shared" si="2"/>
        <v>60.949457519826055</v>
      </c>
      <c r="I24" s="68">
        <f t="shared" si="2"/>
        <v>170.51180631284532</v>
      </c>
      <c r="J24" s="54"/>
      <c r="K24" s="19">
        <f t="shared" si="3"/>
        <v>1.7975935020812956</v>
      </c>
      <c r="L24" s="54"/>
      <c r="M24" s="68">
        <f t="shared" si="6"/>
        <v>485.47901038859419</v>
      </c>
      <c r="N24" s="68">
        <f t="shared" si="6"/>
        <v>610.8383039500884</v>
      </c>
      <c r="O24" s="54"/>
      <c r="P24" s="19">
        <f t="shared" si="4"/>
        <v>0.25821774140379894</v>
      </c>
    </row>
    <row r="25" spans="2:16" x14ac:dyDescent="0.25">
      <c r="B25" s="27" t="s">
        <v>12</v>
      </c>
      <c r="C25" s="68">
        <f t="shared" si="0"/>
        <v>153.00028271967787</v>
      </c>
      <c r="D25" s="68">
        <f t="shared" si="0"/>
        <v>143.20141043085079</v>
      </c>
      <c r="E25" s="54"/>
      <c r="F25" s="19">
        <f t="shared" si="1"/>
        <v>-6.4044798575831785E-2</v>
      </c>
      <c r="G25" s="54"/>
      <c r="H25" s="68">
        <f t="shared" si="2"/>
        <v>47.121342456254361</v>
      </c>
      <c r="I25" s="68">
        <f t="shared" si="2"/>
        <v>46.50730000917639</v>
      </c>
      <c r="J25" s="54"/>
      <c r="K25" s="19">
        <f t="shared" si="3"/>
        <v>-1.3031089843164478E-2</v>
      </c>
      <c r="L25" s="54"/>
      <c r="M25" s="68">
        <f t="shared" si="6"/>
        <v>200.12162517593222</v>
      </c>
      <c r="N25" s="68">
        <f t="shared" si="6"/>
        <v>189.70871044002718</v>
      </c>
      <c r="O25" s="54"/>
      <c r="P25" s="19">
        <f t="shared" si="4"/>
        <v>-5.2032931107524161E-2</v>
      </c>
    </row>
    <row r="26" spans="2:16" ht="13.8" thickBot="1" x14ac:dyDescent="0.3">
      <c r="F26" s="22"/>
      <c r="K26" s="22"/>
      <c r="P26" s="22"/>
    </row>
    <row r="27" spans="2:16" ht="16.2" thickBot="1" x14ac:dyDescent="0.3">
      <c r="B27" s="31" t="s">
        <v>18</v>
      </c>
      <c r="C27" s="61">
        <f>SUM(C10,C20:C25)</f>
        <v>35035.280584152832</v>
      </c>
      <c r="D27" s="62">
        <f>SUM(D10,D20:D25)</f>
        <v>36170.982850002423</v>
      </c>
      <c r="F27" s="32">
        <f>IF(C27,D27/C27-1,"")</f>
        <v>3.2415960338085359E-2</v>
      </c>
      <c r="H27" s="61">
        <f>SUM(H10,H20:H25)</f>
        <v>8605.2554082483839</v>
      </c>
      <c r="I27" s="62">
        <f>SUM(I10,I20:I25)</f>
        <v>9535.2811298610231</v>
      </c>
      <c r="K27" s="32">
        <f>IF(H27,I27/H27-1,"")</f>
        <v>0.10807648088180888</v>
      </c>
      <c r="M27" s="61">
        <f>SUM(M10,M20:M25)</f>
        <v>43640.535992401215</v>
      </c>
      <c r="N27" s="62">
        <f>SUM(N10,N20:N25)</f>
        <v>45706.263979863448</v>
      </c>
      <c r="P27" s="32">
        <f>IF(M27,N27/M27-1,"")</f>
        <v>4.733507369895551E-2</v>
      </c>
    </row>
    <row r="34" spans="1:16" ht="17.399999999999999" x14ac:dyDescent="0.25">
      <c r="B34" s="21" t="s">
        <v>20</v>
      </c>
    </row>
    <row r="35" spans="1:16" ht="45" customHeight="1" x14ac:dyDescent="0.25">
      <c r="A35" s="23"/>
      <c r="C35" s="74" t="s">
        <v>37</v>
      </c>
      <c r="D35" s="74"/>
      <c r="E35" s="74"/>
      <c r="F35" s="74"/>
      <c r="H35" s="75" t="s">
        <v>40</v>
      </c>
      <c r="I35" s="75"/>
      <c r="J35" s="75"/>
      <c r="K35" s="75"/>
      <c r="M35" s="75" t="s">
        <v>41</v>
      </c>
      <c r="N35" s="75"/>
      <c r="O35" s="75"/>
      <c r="P35" s="75"/>
    </row>
    <row r="37" spans="1:16" ht="20.399999999999999" x14ac:dyDescent="0.25">
      <c r="A37" s="24"/>
      <c r="C37" s="25" t="s">
        <v>38</v>
      </c>
      <c r="D37" s="25" t="s">
        <v>39</v>
      </c>
      <c r="F37" s="25" t="s">
        <v>42</v>
      </c>
      <c r="H37" s="25" t="s">
        <v>43</v>
      </c>
      <c r="I37" s="25" t="s">
        <v>44</v>
      </c>
      <c r="K37" s="25" t="s">
        <v>45</v>
      </c>
      <c r="M37" s="25" t="s">
        <v>46</v>
      </c>
      <c r="N37" s="25" t="s">
        <v>47</v>
      </c>
      <c r="P37" s="25" t="s">
        <v>48</v>
      </c>
    </row>
    <row r="38" spans="1:16" s="54" customFormat="1" x14ac:dyDescent="0.25">
      <c r="A38" s="41"/>
      <c r="B38" s="27" t="s">
        <v>14</v>
      </c>
      <c r="C38" s="68">
        <v>24601.704962535325</v>
      </c>
      <c r="D38" s="68">
        <v>25342.048069460558</v>
      </c>
      <c r="F38" s="55">
        <f t="shared" ref="F38:F53" si="7">IF(C38,D38/C38-1,"")</f>
        <v>3.0093162569531762E-2</v>
      </c>
      <c r="H38" s="68">
        <v>6035.6275674916442</v>
      </c>
      <c r="I38" s="68">
        <v>6514.7362745826886</v>
      </c>
      <c r="K38" s="55">
        <f t="shared" ref="K38:K53" si="8">IF(H38,I38/H38-1,"")</f>
        <v>7.9380097882705725E-2</v>
      </c>
      <c r="M38" s="68">
        <f>SUM(M39:M40,M42:M46)</f>
        <v>30637.332530026979</v>
      </c>
      <c r="N38" s="68">
        <f>SUM(N39:N40,N42:N46)</f>
        <v>31856.784344043241</v>
      </c>
      <c r="P38" s="55">
        <f t="shared" ref="P38:P53" si="9">IF(M38,N38/M38-1,"")</f>
        <v>3.9802806357932985E-2</v>
      </c>
    </row>
    <row r="39" spans="1:16" s="20" customFormat="1" ht="10.199999999999999" x14ac:dyDescent="0.2">
      <c r="A39" s="26"/>
      <c r="B39" s="56" t="s">
        <v>0</v>
      </c>
      <c r="C39" s="69">
        <v>15912.467981079648</v>
      </c>
      <c r="D39" s="69">
        <v>16935.068065894025</v>
      </c>
      <c r="F39" s="28">
        <f t="shared" si="7"/>
        <v>6.4264078082059806E-2</v>
      </c>
      <c r="H39" s="69">
        <v>3886.7590161692606</v>
      </c>
      <c r="I39" s="69">
        <v>4402.3502256640204</v>
      </c>
      <c r="K39" s="28">
        <f t="shared" si="8"/>
        <v>0.13265324846481463</v>
      </c>
      <c r="M39" s="69">
        <f>C39+H39</f>
        <v>19799.226997248908</v>
      </c>
      <c r="N39" s="69">
        <f>D39+I39</f>
        <v>21337.418291558046</v>
      </c>
      <c r="P39" s="28">
        <f t="shared" si="9"/>
        <v>7.7689462044294277E-2</v>
      </c>
    </row>
    <row r="40" spans="1:16" s="20" customFormat="1" ht="10.199999999999999" x14ac:dyDescent="0.2">
      <c r="A40" s="26"/>
      <c r="B40" s="56" t="s">
        <v>8</v>
      </c>
      <c r="C40" s="69">
        <v>2538.3499810712469</v>
      </c>
      <c r="D40" s="69">
        <v>2471.3774936096552</v>
      </c>
      <c r="F40" s="28">
        <f t="shared" si="7"/>
        <v>-2.6384260626396205E-2</v>
      </c>
      <c r="H40" s="69">
        <v>623.22799116007548</v>
      </c>
      <c r="I40" s="69">
        <v>609.05128562860057</v>
      </c>
      <c r="K40" s="28">
        <f t="shared" si="8"/>
        <v>-2.2747222096180963E-2</v>
      </c>
      <c r="M40" s="69">
        <f>C40+H40</f>
        <v>3161.5779722313223</v>
      </c>
      <c r="N40" s="69">
        <f>D40+I40</f>
        <v>3080.4287792382556</v>
      </c>
      <c r="P40" s="28">
        <f t="shared" si="9"/>
        <v>-2.5667307181987509E-2</v>
      </c>
    </row>
    <row r="41" spans="1:16" x14ac:dyDescent="0.25">
      <c r="A41" s="58"/>
      <c r="B41" s="29" t="s">
        <v>9</v>
      </c>
      <c r="C41" s="70">
        <v>5839.0594715770649</v>
      </c>
      <c r="D41" s="70">
        <v>5635.9815136216621</v>
      </c>
      <c r="F41" s="59">
        <f t="shared" si="7"/>
        <v>-3.4779224110309315E-2</v>
      </c>
      <c r="H41" s="70">
        <v>1442.7789147610597</v>
      </c>
      <c r="I41" s="70">
        <v>1409.2171343595228</v>
      </c>
      <c r="K41" s="59">
        <f t="shared" si="8"/>
        <v>-2.3261901084197012E-2</v>
      </c>
      <c r="M41" s="70">
        <f>M42+M43+M44+M45</f>
        <v>7281.8383863381241</v>
      </c>
      <c r="N41" s="70">
        <f>N42+N43+N44+N45</f>
        <v>7045.1986479811849</v>
      </c>
      <c r="P41" s="59">
        <f t="shared" si="9"/>
        <v>-3.2497252177542513E-2</v>
      </c>
    </row>
    <row r="42" spans="1:16" s="20" customFormat="1" ht="10.199999999999999" x14ac:dyDescent="0.2">
      <c r="A42" s="26"/>
      <c r="B42" s="57" t="s">
        <v>10</v>
      </c>
      <c r="C42" s="69">
        <v>1306.3673203179433</v>
      </c>
      <c r="D42" s="69">
        <v>1343.6436980497792</v>
      </c>
      <c r="F42" s="28">
        <f t="shared" si="7"/>
        <v>2.8534377086808727E-2</v>
      </c>
      <c r="H42" s="69">
        <v>340.5492119675373</v>
      </c>
      <c r="I42" s="69">
        <v>308.87077926536159</v>
      </c>
      <c r="K42" s="28">
        <f t="shared" si="8"/>
        <v>-9.3021600370625568E-2</v>
      </c>
      <c r="M42" s="69">
        <f t="shared" ref="M42:M46" si="10">C42+H42</f>
        <v>1646.9165322854806</v>
      </c>
      <c r="N42" s="69">
        <f t="shared" ref="N42:N46" si="11">D42+I42</f>
        <v>1652.5144773151408</v>
      </c>
      <c r="P42" s="28">
        <f t="shared" si="9"/>
        <v>3.3990459868002976E-3</v>
      </c>
    </row>
    <row r="43" spans="1:16" s="20" customFormat="1" ht="10.199999999999999" x14ac:dyDescent="0.2">
      <c r="A43" s="26"/>
      <c r="B43" s="57" t="s">
        <v>4</v>
      </c>
      <c r="C43" s="69">
        <v>2957.2243764586947</v>
      </c>
      <c r="D43" s="69">
        <v>2494.8057957310366</v>
      </c>
      <c r="F43" s="28">
        <f t="shared" si="7"/>
        <v>-0.15636912248146995</v>
      </c>
      <c r="H43" s="69">
        <v>723.05329763599457</v>
      </c>
      <c r="I43" s="69">
        <v>665.70778345149063</v>
      </c>
      <c r="K43" s="28">
        <f t="shared" si="8"/>
        <v>-7.9310217340815337E-2</v>
      </c>
      <c r="M43" s="69">
        <f t="shared" si="10"/>
        <v>3680.2776740946892</v>
      </c>
      <c r="N43" s="69">
        <f t="shared" si="11"/>
        <v>3160.5135791825273</v>
      </c>
      <c r="P43" s="28">
        <f t="shared" si="9"/>
        <v>-0.14122958671590413</v>
      </c>
    </row>
    <row r="44" spans="1:16" s="20" customFormat="1" ht="10.199999999999999" x14ac:dyDescent="0.2">
      <c r="A44" s="26"/>
      <c r="B44" s="57" t="s">
        <v>11</v>
      </c>
      <c r="C44" s="69">
        <v>1134.8237467601539</v>
      </c>
      <c r="D44" s="69">
        <v>1228.3521905299012</v>
      </c>
      <c r="F44" s="28">
        <f t="shared" si="7"/>
        <v>8.2416713641007888E-2</v>
      </c>
      <c r="H44" s="69">
        <v>288.9680157996894</v>
      </c>
      <c r="I44" s="69">
        <v>318.8878234826206</v>
      </c>
      <c r="K44" s="28">
        <f t="shared" si="8"/>
        <v>0.10354020530656727</v>
      </c>
      <c r="M44" s="69">
        <f t="shared" si="10"/>
        <v>1423.7917625598434</v>
      </c>
      <c r="N44" s="69">
        <f t="shared" si="11"/>
        <v>1547.2400140125219</v>
      </c>
      <c r="P44" s="28">
        <f t="shared" si="9"/>
        <v>8.6703866884810576E-2</v>
      </c>
    </row>
    <row r="45" spans="1:16" s="20" customFormat="1" ht="10.199999999999999" x14ac:dyDescent="0.2">
      <c r="A45" s="26"/>
      <c r="B45" s="57" t="s">
        <v>6</v>
      </c>
      <c r="C45" s="69">
        <v>440.64402804027316</v>
      </c>
      <c r="D45" s="69">
        <v>569.17982931094468</v>
      </c>
      <c r="F45" s="28">
        <f t="shared" si="7"/>
        <v>0.29169985995798831</v>
      </c>
      <c r="H45" s="69">
        <v>90.208389357838342</v>
      </c>
      <c r="I45" s="69">
        <v>115.75074816004991</v>
      </c>
      <c r="K45" s="28">
        <f t="shared" si="8"/>
        <v>0.28314837438112561</v>
      </c>
      <c r="M45" s="69">
        <f t="shared" si="10"/>
        <v>530.85241739811147</v>
      </c>
      <c r="N45" s="69">
        <f t="shared" si="11"/>
        <v>684.93057747099465</v>
      </c>
      <c r="P45" s="28">
        <f t="shared" si="9"/>
        <v>0.29024669573527184</v>
      </c>
    </row>
    <row r="46" spans="1:16" s="20" customFormat="1" ht="10.199999999999999" x14ac:dyDescent="0.2">
      <c r="A46" s="26"/>
      <c r="B46" s="56" t="s">
        <v>12</v>
      </c>
      <c r="C46" s="69">
        <v>311.82752880736916</v>
      </c>
      <c r="D46" s="69">
        <v>299.62099633521098</v>
      </c>
      <c r="F46" s="28">
        <f t="shared" si="7"/>
        <v>-3.9145140645035048E-2</v>
      </c>
      <c r="H46" s="69">
        <v>82.861645401249305</v>
      </c>
      <c r="I46" s="69">
        <v>94.117628930545877</v>
      </c>
      <c r="K46" s="28">
        <f t="shared" si="8"/>
        <v>0.1358406953517588</v>
      </c>
      <c r="M46" s="69">
        <f t="shared" si="10"/>
        <v>394.68917420861845</v>
      </c>
      <c r="N46" s="69">
        <f t="shared" si="11"/>
        <v>393.73862526575687</v>
      </c>
      <c r="P46" s="28">
        <f t="shared" si="9"/>
        <v>-2.4083481508392346E-3</v>
      </c>
    </row>
    <row r="47" spans="1:16" s="54" customFormat="1" x14ac:dyDescent="0.25">
      <c r="A47" s="60"/>
      <c r="B47" s="27" t="s">
        <v>27</v>
      </c>
      <c r="C47" s="68">
        <v>5653.6908435260475</v>
      </c>
      <c r="D47" s="68">
        <v>5060.9745247854753</v>
      </c>
      <c r="F47" s="19">
        <f t="shared" si="7"/>
        <v>-0.10483705868340543</v>
      </c>
      <c r="H47" s="68">
        <v>1333.8148108183746</v>
      </c>
      <c r="I47" s="68">
        <v>1346.9579080367448</v>
      </c>
      <c r="K47" s="19">
        <f t="shared" si="8"/>
        <v>9.853764639415008E-3</v>
      </c>
      <c r="M47" s="68">
        <f>SUM(M48:M50)</f>
        <v>6987.5056543444225</v>
      </c>
      <c r="N47" s="68">
        <f>SUM(N48:N50)</f>
        <v>6407.9324328222192</v>
      </c>
      <c r="P47" s="19">
        <f t="shared" si="9"/>
        <v>-8.2944222186333239E-2</v>
      </c>
    </row>
    <row r="48" spans="1:16" s="20" customFormat="1" ht="10.199999999999999" x14ac:dyDescent="0.2">
      <c r="A48" s="26"/>
      <c r="B48" s="56" t="s">
        <v>24</v>
      </c>
      <c r="C48" s="69">
        <v>1364.8594884053871</v>
      </c>
      <c r="D48" s="69">
        <v>1315.0439817475492</v>
      </c>
      <c r="F48" s="28">
        <f t="shared" si="7"/>
        <v>-3.6498633801519853E-2</v>
      </c>
      <c r="H48" s="69">
        <v>382.8660938380728</v>
      </c>
      <c r="I48" s="69">
        <v>321.3332262003571</v>
      </c>
      <c r="K48" s="28">
        <f t="shared" si="8"/>
        <v>-0.16071641920775581</v>
      </c>
      <c r="M48" s="69">
        <f t="shared" ref="M48:M53" si="12">C48+H48</f>
        <v>1747.7255822434599</v>
      </c>
      <c r="N48" s="69">
        <f t="shared" ref="N48:N53" si="13">D48+I48</f>
        <v>1636.3772079479063</v>
      </c>
      <c r="P48" s="28">
        <f t="shared" si="9"/>
        <v>-6.3710444835751501E-2</v>
      </c>
    </row>
    <row r="49" spans="1:16" s="20" customFormat="1" ht="10.199999999999999" x14ac:dyDescent="0.2">
      <c r="A49" s="26"/>
      <c r="B49" s="56" t="s">
        <v>23</v>
      </c>
      <c r="C49" s="69">
        <v>487.75418899864354</v>
      </c>
      <c r="D49" s="69">
        <v>393.47659138333432</v>
      </c>
      <c r="F49" s="28">
        <f t="shared" si="7"/>
        <v>-0.1932891602814536</v>
      </c>
      <c r="H49" s="69">
        <v>101.91593574621682</v>
      </c>
      <c r="I49" s="69">
        <v>120.36731603605602</v>
      </c>
      <c r="K49" s="28">
        <f t="shared" si="8"/>
        <v>0.18104509520263257</v>
      </c>
      <c r="M49" s="69">
        <f t="shared" si="12"/>
        <v>589.67012474486035</v>
      </c>
      <c r="N49" s="69">
        <f t="shared" si="13"/>
        <v>513.84390741939035</v>
      </c>
      <c r="P49" s="28">
        <f t="shared" si="9"/>
        <v>-0.12859090895656045</v>
      </c>
    </row>
    <row r="50" spans="1:16" s="20" customFormat="1" ht="10.199999999999999" x14ac:dyDescent="0.2">
      <c r="A50" s="26"/>
      <c r="B50" s="56" t="s">
        <v>13</v>
      </c>
      <c r="C50" s="69">
        <v>3801.0771661220169</v>
      </c>
      <c r="D50" s="69">
        <v>3352.4539516545915</v>
      </c>
      <c r="F50" s="28">
        <f t="shared" si="7"/>
        <v>-0.11802528463928175</v>
      </c>
      <c r="H50" s="69">
        <v>849.03278123408506</v>
      </c>
      <c r="I50" s="69">
        <v>905.25736580033174</v>
      </c>
      <c r="K50" s="28">
        <f t="shared" si="8"/>
        <v>6.6221924298992541E-2</v>
      </c>
      <c r="M50" s="69">
        <f t="shared" si="12"/>
        <v>4650.1099473561017</v>
      </c>
      <c r="N50" s="69">
        <f t="shared" si="13"/>
        <v>4257.7113174549231</v>
      </c>
      <c r="P50" s="28">
        <f t="shared" si="9"/>
        <v>-8.4384806884896024E-2</v>
      </c>
    </row>
    <row r="51" spans="1:16" s="54" customFormat="1" x14ac:dyDescent="0.25">
      <c r="A51" s="60"/>
      <c r="B51" s="27" t="s">
        <v>7</v>
      </c>
      <c r="C51" s="68">
        <v>239.31226101879281</v>
      </c>
      <c r="D51" s="68">
        <v>311.06354924506252</v>
      </c>
      <c r="F51" s="19">
        <f t="shared" si="7"/>
        <v>0.29982286708091066</v>
      </c>
      <c r="H51" s="68">
        <v>74.804492190786391</v>
      </c>
      <c r="I51" s="68">
        <v>85.770127884777125</v>
      </c>
      <c r="K51" s="19">
        <f t="shared" si="8"/>
        <v>0.14659060402446467</v>
      </c>
      <c r="M51" s="68">
        <f t="shared" si="12"/>
        <v>314.1167532095792</v>
      </c>
      <c r="N51" s="68">
        <f t="shared" si="13"/>
        <v>396.83367712983966</v>
      </c>
      <c r="P51" s="19">
        <f t="shared" si="9"/>
        <v>0.26333178054044004</v>
      </c>
    </row>
    <row r="52" spans="1:16" s="54" customFormat="1" x14ac:dyDescent="0.25">
      <c r="A52" s="60"/>
      <c r="B52" s="27" t="s">
        <v>15</v>
      </c>
      <c r="C52" s="68">
        <v>380.26545500035195</v>
      </c>
      <c r="D52" s="68">
        <v>363.3724318170074</v>
      </c>
      <c r="F52" s="19">
        <f t="shared" si="7"/>
        <v>-4.4424290876826866E-2</v>
      </c>
      <c r="H52" s="68">
        <v>36.771799380813896</v>
      </c>
      <c r="I52" s="68">
        <v>162.47854722313471</v>
      </c>
      <c r="K52" s="19">
        <f t="shared" si="8"/>
        <v>3.418563952785779</v>
      </c>
      <c r="M52" s="68">
        <f t="shared" si="12"/>
        <v>417.03725438116584</v>
      </c>
      <c r="N52" s="68">
        <f t="shared" si="13"/>
        <v>525.85097904014208</v>
      </c>
      <c r="P52" s="19">
        <f t="shared" si="9"/>
        <v>0.26092087341319892</v>
      </c>
    </row>
    <row r="53" spans="1:16" s="54" customFormat="1" x14ac:dyDescent="0.25">
      <c r="A53" s="60"/>
      <c r="B53" s="27" t="s">
        <v>12</v>
      </c>
      <c r="C53" s="68">
        <v>139.98835724520617</v>
      </c>
      <c r="D53" s="68">
        <v>126.37839997359492</v>
      </c>
      <c r="F53" s="19">
        <f t="shared" si="7"/>
        <v>-9.7222065744880459E-2</v>
      </c>
      <c r="H53" s="68">
        <v>43.964206527140234</v>
      </c>
      <c r="I53" s="68">
        <v>38.546299630605915</v>
      </c>
      <c r="K53" s="19">
        <f t="shared" si="8"/>
        <v>-0.12323449743576531</v>
      </c>
      <c r="M53" s="68">
        <f t="shared" si="12"/>
        <v>183.95256377234642</v>
      </c>
      <c r="N53" s="68">
        <f t="shared" si="13"/>
        <v>164.92469960420084</v>
      </c>
      <c r="P53" s="19">
        <f t="shared" si="9"/>
        <v>-0.10343897240646149</v>
      </c>
    </row>
    <row r="54" spans="1:16" ht="11.25" customHeight="1" thickBot="1" x14ac:dyDescent="0.3">
      <c r="A54" s="22"/>
      <c r="F54" s="22"/>
      <c r="K54" s="22"/>
      <c r="P54" s="22"/>
    </row>
    <row r="55" spans="1:16" ht="16.2" thickBot="1" x14ac:dyDescent="0.3">
      <c r="A55" s="30"/>
      <c r="B55" s="31" t="s">
        <v>16</v>
      </c>
      <c r="C55" s="61">
        <v>31014.961879325721</v>
      </c>
      <c r="D55" s="62">
        <v>31203.836975281694</v>
      </c>
      <c r="F55" s="32">
        <f>IF(C55,D55/C55-1,"")</f>
        <v>6.0898058392222509E-3</v>
      </c>
      <c r="H55" s="61">
        <v>7524.9828764087588</v>
      </c>
      <c r="I55" s="62">
        <v>8148.4891573579516</v>
      </c>
      <c r="K55" s="32">
        <f>IF(H55,I55/H55-1,"")</f>
        <v>8.2858166083529472E-2</v>
      </c>
      <c r="M55" s="61">
        <f>SUM(M38,M48:M53)</f>
        <v>38539.944755734497</v>
      </c>
      <c r="N55" s="62">
        <f>SUM(N38,N48:N53)</f>
        <v>39352.326132639646</v>
      </c>
      <c r="P55" s="32">
        <f>IF(M55,N55/M55-1,"")</f>
        <v>2.1078945028437657E-2</v>
      </c>
    </row>
    <row r="56" spans="1:16" ht="6" customHeight="1" x14ac:dyDescent="0.25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5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5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5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5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7.399999999999999" x14ac:dyDescent="0.25">
      <c r="B62" s="21" t="s">
        <v>21</v>
      </c>
    </row>
    <row r="63" spans="1:16" ht="45" customHeight="1" x14ac:dyDescent="0.25">
      <c r="A63" s="23"/>
      <c r="C63" s="74" t="str">
        <f>C$35</f>
        <v>I-IV 2025 vs I-IV 2024</v>
      </c>
      <c r="D63" s="74"/>
      <c r="E63" s="74"/>
      <c r="F63" s="74"/>
      <c r="H63" s="74" t="str">
        <f>H$35</f>
        <v>V 2025 vs V 2024</v>
      </c>
      <c r="I63" s="74"/>
      <c r="J63" s="74"/>
      <c r="K63" s="74"/>
      <c r="M63" s="74" t="str">
        <f>M$35</f>
        <v>I-V 2025 vs I-V 2024</v>
      </c>
      <c r="N63" s="74"/>
      <c r="O63" s="74"/>
      <c r="P63" s="74"/>
    </row>
    <row r="64" spans="1:16" ht="20.399999999999999" x14ac:dyDescent="0.25">
      <c r="A64" s="24"/>
      <c r="C64" s="25" t="str">
        <f>C$37</f>
        <v>I-IV 2024</v>
      </c>
      <c r="D64" s="25" t="str">
        <f>D$37</f>
        <v>I-IV 2025</v>
      </c>
      <c r="F64" s="25" t="str">
        <f>F$37</f>
        <v>I-IV 25/
I-IV 24</v>
      </c>
      <c r="H64" s="25" t="str">
        <f>H$37</f>
        <v>V 2024</v>
      </c>
      <c r="I64" s="25" t="str">
        <f>I$37</f>
        <v>V 2025</v>
      </c>
      <c r="K64" s="25" t="str">
        <f>K$37</f>
        <v>V 2025/
V 2024</v>
      </c>
      <c r="M64" s="25" t="str">
        <f>M$37</f>
        <v>I-V 2024</v>
      </c>
      <c r="N64" s="25" t="str">
        <f>N$37</f>
        <v>I-V 2025</v>
      </c>
      <c r="P64" s="25" t="str">
        <f>P$37</f>
        <v>I-V 25/
I-V 24</v>
      </c>
    </row>
    <row r="65" spans="1:16" s="54" customFormat="1" x14ac:dyDescent="0.25">
      <c r="A65" s="41"/>
      <c r="B65" s="27" t="s">
        <v>14</v>
      </c>
      <c r="C65" s="68">
        <v>1383.2447989449056</v>
      </c>
      <c r="D65" s="68">
        <v>1740.7749265430134</v>
      </c>
      <c r="F65" s="55">
        <f t="shared" ref="F65:F80" si="14">IF(C65,D65/C65-1,"")</f>
        <v>0.25847205633508996</v>
      </c>
      <c r="H65" s="68">
        <v>345.62750391429842</v>
      </c>
      <c r="I65" s="68">
        <v>550.96379093355608</v>
      </c>
      <c r="K65" s="55">
        <f t="shared" ref="K65:K80" si="15">IF(H65,I65/H65-1,"")</f>
        <v>0.59409706893630987</v>
      </c>
      <c r="M65" s="68">
        <f>SUM(M66:M67,M69:M73)</f>
        <v>1728.8723028592037</v>
      </c>
      <c r="N65" s="68">
        <f>SUM(N66:N67,N69:N73)</f>
        <v>2291.738717476569</v>
      </c>
      <c r="P65" s="55">
        <f t="shared" ref="P65:P80" si="16">IF(M65,N65/M65-1,"")</f>
        <v>0.32556853024164867</v>
      </c>
    </row>
    <row r="66" spans="1:16" s="20" customFormat="1" ht="10.199999999999999" x14ac:dyDescent="0.2">
      <c r="A66" s="26"/>
      <c r="B66" s="56" t="s">
        <v>0</v>
      </c>
      <c r="C66" s="69">
        <v>743.24104143773377</v>
      </c>
      <c r="D66" s="69">
        <v>1032.5103294491407</v>
      </c>
      <c r="F66" s="28">
        <f t="shared" si="14"/>
        <v>0.38919983139230463</v>
      </c>
      <c r="H66" s="69">
        <v>193.32314659140209</v>
      </c>
      <c r="I66" s="69">
        <v>369.57949448202004</v>
      </c>
      <c r="K66" s="28">
        <f t="shared" si="15"/>
        <v>0.91171880345577216</v>
      </c>
      <c r="M66" s="69">
        <f>C66+H66</f>
        <v>936.56418802913583</v>
      </c>
      <c r="N66" s="69">
        <f>D66+I66</f>
        <v>1402.0898239311607</v>
      </c>
      <c r="P66" s="28">
        <f t="shared" si="16"/>
        <v>0.49705684015278906</v>
      </c>
    </row>
    <row r="67" spans="1:16" s="20" customFormat="1" ht="10.199999999999999" x14ac:dyDescent="0.2">
      <c r="A67" s="26"/>
      <c r="B67" s="56" t="s">
        <v>8</v>
      </c>
      <c r="C67" s="69">
        <v>148.65135962916781</v>
      </c>
      <c r="D67" s="69">
        <v>131.49761219996566</v>
      </c>
      <c r="F67" s="28">
        <f t="shared" si="14"/>
        <v>-0.11539583271888432</v>
      </c>
      <c r="H67" s="69">
        <v>29.293736800008947</v>
      </c>
      <c r="I67" s="69">
        <v>19.783242071478391</v>
      </c>
      <c r="K67" s="28">
        <f t="shared" si="15"/>
        <v>-0.32465966337649521</v>
      </c>
      <c r="M67" s="69">
        <f>C67+H67</f>
        <v>177.94509642917677</v>
      </c>
      <c r="N67" s="69">
        <f>D67+I67</f>
        <v>151.28085427144404</v>
      </c>
      <c r="P67" s="28">
        <f t="shared" si="16"/>
        <v>-0.14984533259305211</v>
      </c>
    </row>
    <row r="68" spans="1:16" x14ac:dyDescent="0.25">
      <c r="A68" s="58"/>
      <c r="B68" s="29" t="s">
        <v>9</v>
      </c>
      <c r="C68" s="70">
        <v>478.53174488577298</v>
      </c>
      <c r="D68" s="70">
        <v>564.76537453270043</v>
      </c>
      <c r="F68" s="59">
        <f t="shared" si="14"/>
        <v>0.18020461666030463</v>
      </c>
      <c r="H68" s="70">
        <v>120.82924613798207</v>
      </c>
      <c r="I68" s="70">
        <v>156.37061760652006</v>
      </c>
      <c r="K68" s="59">
        <f t="shared" si="15"/>
        <v>0.29414543750402267</v>
      </c>
      <c r="M68" s="70">
        <f>M69+M70+M71+M72</f>
        <v>599.36099102375499</v>
      </c>
      <c r="N68" s="70">
        <f>N69+N70+N71+N72</f>
        <v>721.13599213922055</v>
      </c>
      <c r="P68" s="59">
        <f t="shared" si="16"/>
        <v>0.2031747193080824</v>
      </c>
    </row>
    <row r="69" spans="1:16" s="20" customFormat="1" ht="10.199999999999999" x14ac:dyDescent="0.2">
      <c r="A69" s="26"/>
      <c r="B69" s="57" t="s">
        <v>10</v>
      </c>
      <c r="C69" s="69">
        <v>57.145562174888866</v>
      </c>
      <c r="D69" s="69">
        <v>64.698376042113239</v>
      </c>
      <c r="F69" s="28">
        <f t="shared" si="14"/>
        <v>0.13216798610029712</v>
      </c>
      <c r="H69" s="69">
        <v>17.232708500567405</v>
      </c>
      <c r="I69" s="69">
        <v>23.780524054566413</v>
      </c>
      <c r="K69" s="28">
        <f t="shared" si="15"/>
        <v>0.37996438887035167</v>
      </c>
      <c r="M69" s="69">
        <f t="shared" ref="M69:M73" si="17">C69+H69</f>
        <v>74.378270675456264</v>
      </c>
      <c r="N69" s="69">
        <f t="shared" ref="N69:N73" si="18">D69+I69</f>
        <v>88.478900096679652</v>
      </c>
      <c r="P69" s="28">
        <f t="shared" si="16"/>
        <v>0.18957995787170656</v>
      </c>
    </row>
    <row r="70" spans="1:16" s="20" customFormat="1" ht="10.199999999999999" x14ac:dyDescent="0.2">
      <c r="A70" s="26"/>
      <c r="B70" s="57" t="s">
        <v>4</v>
      </c>
      <c r="C70" s="69">
        <v>290.75923548419325</v>
      </c>
      <c r="D70" s="69">
        <v>304.38738726427687</v>
      </c>
      <c r="F70" s="28">
        <f t="shared" si="14"/>
        <v>4.6870916266473994E-2</v>
      </c>
      <c r="H70" s="69">
        <v>83.013641332553561</v>
      </c>
      <c r="I70" s="69">
        <v>94.874621422439958</v>
      </c>
      <c r="K70" s="28">
        <f t="shared" si="15"/>
        <v>0.14287989178033023</v>
      </c>
      <c r="M70" s="69">
        <f t="shared" si="17"/>
        <v>373.77287681674682</v>
      </c>
      <c r="N70" s="69">
        <f t="shared" si="18"/>
        <v>399.26200868671685</v>
      </c>
      <c r="P70" s="28">
        <f t="shared" si="16"/>
        <v>6.8194172051887048E-2</v>
      </c>
    </row>
    <row r="71" spans="1:16" s="20" customFormat="1" ht="10.199999999999999" x14ac:dyDescent="0.2">
      <c r="A71" s="26"/>
      <c r="B71" s="57" t="s">
        <v>11</v>
      </c>
      <c r="C71" s="69">
        <v>120.79995395755228</v>
      </c>
      <c r="D71" s="69">
        <v>140.92731238785575</v>
      </c>
      <c r="F71" s="28">
        <f t="shared" si="14"/>
        <v>0.16661726905439056</v>
      </c>
      <c r="H71" s="69">
        <v>19.947102138952769</v>
      </c>
      <c r="I71" s="69">
        <v>29.986925307772093</v>
      </c>
      <c r="K71" s="28">
        <f t="shared" si="15"/>
        <v>0.50332239233956311</v>
      </c>
      <c r="M71" s="69">
        <f t="shared" si="17"/>
        <v>140.74705609650505</v>
      </c>
      <c r="N71" s="69">
        <f t="shared" si="18"/>
        <v>170.91423769562783</v>
      </c>
      <c r="P71" s="28">
        <f t="shared" si="16"/>
        <v>0.21433614624549069</v>
      </c>
    </row>
    <row r="72" spans="1:16" s="20" customFormat="1" ht="10.199999999999999" x14ac:dyDescent="0.2">
      <c r="A72" s="26"/>
      <c r="B72" s="57" t="s">
        <v>6</v>
      </c>
      <c r="C72" s="69">
        <v>9.8269932691385549</v>
      </c>
      <c r="D72" s="69">
        <v>54.752298838454607</v>
      </c>
      <c r="F72" s="28">
        <f t="shared" si="14"/>
        <v>4.5716227068561182</v>
      </c>
      <c r="H72" s="69">
        <v>0.63579416590832771</v>
      </c>
      <c r="I72" s="69">
        <v>7.7285468217415989</v>
      </c>
      <c r="K72" s="28">
        <f t="shared" si="15"/>
        <v>11.15573724351529</v>
      </c>
      <c r="M72" s="69">
        <f t="shared" si="17"/>
        <v>10.462787435046883</v>
      </c>
      <c r="N72" s="69">
        <f t="shared" si="18"/>
        <v>62.480845660196209</v>
      </c>
      <c r="P72" s="28">
        <f t="shared" si="16"/>
        <v>4.9717208294709314</v>
      </c>
    </row>
    <row r="73" spans="1:16" s="20" customFormat="1" ht="10.199999999999999" x14ac:dyDescent="0.2">
      <c r="A73" s="26"/>
      <c r="B73" s="56" t="s">
        <v>12</v>
      </c>
      <c r="C73" s="69">
        <v>12.820652992231009</v>
      </c>
      <c r="D73" s="69">
        <v>12.001610361206277</v>
      </c>
      <c r="F73" s="28">
        <f t="shared" si="14"/>
        <v>-6.3884626744133199E-2</v>
      </c>
      <c r="H73" s="69">
        <v>2.1813743849053462</v>
      </c>
      <c r="I73" s="69">
        <v>5.2304367735375701</v>
      </c>
      <c r="K73" s="28">
        <f t="shared" si="15"/>
        <v>1.3977712444645434</v>
      </c>
      <c r="M73" s="69">
        <f t="shared" si="17"/>
        <v>15.002027377136356</v>
      </c>
      <c r="N73" s="69">
        <f t="shared" si="18"/>
        <v>17.232047134743848</v>
      </c>
      <c r="P73" s="28">
        <f t="shared" si="16"/>
        <v>0.1486478928178816</v>
      </c>
    </row>
    <row r="74" spans="1:16" s="54" customFormat="1" x14ac:dyDescent="0.25">
      <c r="A74" s="60"/>
      <c r="B74" s="27" t="s">
        <v>27</v>
      </c>
      <c r="C74" s="68">
        <v>2537.5939350011731</v>
      </c>
      <c r="D74" s="68">
        <v>3062.2807989401035</v>
      </c>
      <c r="F74" s="19">
        <f t="shared" si="14"/>
        <v>0.20676549415645096</v>
      </c>
      <c r="H74" s="68">
        <v>693.45717719084678</v>
      </c>
      <c r="I74" s="68">
        <v>801.24313350905959</v>
      </c>
      <c r="K74" s="19">
        <f t="shared" si="15"/>
        <v>0.15543275037522464</v>
      </c>
      <c r="M74" s="68">
        <f>SUM(M75:M77)</f>
        <v>3231.0511121920199</v>
      </c>
      <c r="N74" s="68">
        <f>SUM(N75:N77)</f>
        <v>3863.5239324491631</v>
      </c>
      <c r="P74" s="19">
        <f t="shared" si="16"/>
        <v>0.19574831789895741</v>
      </c>
    </row>
    <row r="75" spans="1:16" s="20" customFormat="1" ht="10.199999999999999" x14ac:dyDescent="0.2">
      <c r="A75" s="26"/>
      <c r="B75" s="56" t="s">
        <v>24</v>
      </c>
      <c r="C75" s="69">
        <v>312.21664876206239</v>
      </c>
      <c r="D75" s="69">
        <v>202.03943593300806</v>
      </c>
      <c r="F75" s="28">
        <f t="shared" si="14"/>
        <v>-0.35288705219887051</v>
      </c>
      <c r="H75" s="69">
        <v>76.231428694101282</v>
      </c>
      <c r="I75" s="69">
        <v>48.647909833749054</v>
      </c>
      <c r="K75" s="28">
        <f t="shared" si="15"/>
        <v>-0.36183919589174141</v>
      </c>
      <c r="M75" s="69">
        <f t="shared" ref="M75:M80" si="19">C75+H75</f>
        <v>388.44807745616367</v>
      </c>
      <c r="N75" s="69">
        <f t="shared" ref="N75:N80" si="20">D75+I75</f>
        <v>250.68734576675712</v>
      </c>
      <c r="P75" s="28">
        <f t="shared" si="16"/>
        <v>-0.35464387567976274</v>
      </c>
    </row>
    <row r="76" spans="1:16" s="20" customFormat="1" ht="10.199999999999999" x14ac:dyDescent="0.2">
      <c r="A76" s="26"/>
      <c r="B76" s="56" t="s">
        <v>23</v>
      </c>
      <c r="C76" s="69">
        <v>1379.8083049851105</v>
      </c>
      <c r="D76" s="69">
        <v>1976.3754658854687</v>
      </c>
      <c r="F76" s="28">
        <f t="shared" si="14"/>
        <v>0.4323551023319836</v>
      </c>
      <c r="H76" s="69">
        <v>381.58078500557775</v>
      </c>
      <c r="I76" s="69">
        <v>527.91279301366217</v>
      </c>
      <c r="K76" s="28">
        <f t="shared" si="15"/>
        <v>0.38348893277198282</v>
      </c>
      <c r="M76" s="69">
        <f t="shared" si="19"/>
        <v>1761.3890899906883</v>
      </c>
      <c r="N76" s="69">
        <f t="shared" si="20"/>
        <v>2504.2882588991306</v>
      </c>
      <c r="P76" s="28">
        <f t="shared" si="16"/>
        <v>0.42176891700423202</v>
      </c>
    </row>
    <row r="77" spans="1:16" s="20" customFormat="1" ht="10.199999999999999" x14ac:dyDescent="0.2">
      <c r="A77" s="26"/>
      <c r="B77" s="56" t="s">
        <v>13</v>
      </c>
      <c r="C77" s="69">
        <v>845.56898125400028</v>
      </c>
      <c r="D77" s="69">
        <v>883.86589712162686</v>
      </c>
      <c r="F77" s="28">
        <f t="shared" si="14"/>
        <v>4.5291297004333542E-2</v>
      </c>
      <c r="H77" s="69">
        <v>235.64496349116774</v>
      </c>
      <c r="I77" s="69">
        <v>224.68243066164837</v>
      </c>
      <c r="K77" s="28">
        <f t="shared" si="15"/>
        <v>-4.6521396710989982E-2</v>
      </c>
      <c r="M77" s="69">
        <f t="shared" si="19"/>
        <v>1081.213944745168</v>
      </c>
      <c r="N77" s="69">
        <f t="shared" si="20"/>
        <v>1108.5483277832752</v>
      </c>
      <c r="P77" s="28">
        <f t="shared" si="16"/>
        <v>2.5281197279183987E-2</v>
      </c>
    </row>
    <row r="78" spans="1:16" s="54" customFormat="1" x14ac:dyDescent="0.25">
      <c r="A78" s="60"/>
      <c r="B78" s="27" t="s">
        <v>7</v>
      </c>
      <c r="C78" s="68">
        <v>42.203947538128354</v>
      </c>
      <c r="D78" s="68">
        <v>70.313072960112791</v>
      </c>
      <c r="F78" s="19">
        <f t="shared" si="14"/>
        <v>0.66603071659564028</v>
      </c>
      <c r="H78" s="68">
        <v>13.853056666354005</v>
      </c>
      <c r="I78" s="68">
        <v>18.590788592175393</v>
      </c>
      <c r="K78" s="19">
        <f t="shared" si="15"/>
        <v>0.34199902880122379</v>
      </c>
      <c r="M78" s="68">
        <f t="shared" si="19"/>
        <v>56.057004204482361</v>
      </c>
      <c r="N78" s="68">
        <f t="shared" si="20"/>
        <v>88.903861552288191</v>
      </c>
      <c r="P78" s="19">
        <f t="shared" si="16"/>
        <v>0.58595456203810792</v>
      </c>
    </row>
    <row r="79" spans="1:16" s="54" customFormat="1" x14ac:dyDescent="0.25">
      <c r="A79" s="60"/>
      <c r="B79" s="27" t="s">
        <v>15</v>
      </c>
      <c r="C79" s="68">
        <v>44.264097868416179</v>
      </c>
      <c r="D79" s="68">
        <v>76.954065820235641</v>
      </c>
      <c r="F79" s="19">
        <f t="shared" si="14"/>
        <v>0.73852104811888153</v>
      </c>
      <c r="H79" s="68">
        <v>24.177658139012156</v>
      </c>
      <c r="I79" s="68">
        <v>8.0332590897106044</v>
      </c>
      <c r="K79" s="19">
        <f t="shared" si="15"/>
        <v>-0.66774039720793144</v>
      </c>
      <c r="M79" s="68">
        <f t="shared" si="19"/>
        <v>68.441756007428339</v>
      </c>
      <c r="N79" s="68">
        <f t="shared" si="20"/>
        <v>84.987324909946238</v>
      </c>
      <c r="P79" s="19">
        <f t="shared" si="16"/>
        <v>0.24174670358723871</v>
      </c>
    </row>
    <row r="80" spans="1:16" s="54" customFormat="1" x14ac:dyDescent="0.25">
      <c r="A80" s="60"/>
      <c r="B80" s="27" t="s">
        <v>12</v>
      </c>
      <c r="C80" s="68">
        <v>13.011925474471697</v>
      </c>
      <c r="D80" s="68">
        <v>16.823010457255855</v>
      </c>
      <c r="F80" s="19">
        <f t="shared" si="14"/>
        <v>0.292891700791031</v>
      </c>
      <c r="H80" s="68">
        <v>3.1571359291141277</v>
      </c>
      <c r="I80" s="68">
        <v>7.9610003785704748</v>
      </c>
      <c r="K80" s="19">
        <f t="shared" si="15"/>
        <v>1.5215893636877018</v>
      </c>
      <c r="M80" s="68">
        <f t="shared" si="19"/>
        <v>16.169061403585825</v>
      </c>
      <c r="N80" s="68">
        <f t="shared" si="20"/>
        <v>24.784010835826329</v>
      </c>
      <c r="P80" s="19">
        <f t="shared" si="16"/>
        <v>0.5328045467333038</v>
      </c>
    </row>
    <row r="81" spans="1:16" ht="11.25" customHeight="1" thickBot="1" x14ac:dyDescent="0.3">
      <c r="A81" s="22"/>
      <c r="F81" s="22"/>
      <c r="K81" s="22"/>
      <c r="P81" s="22"/>
    </row>
    <row r="82" spans="1:16" ht="16.2" thickBot="1" x14ac:dyDescent="0.3">
      <c r="A82" s="30"/>
      <c r="B82" s="31" t="s">
        <v>17</v>
      </c>
      <c r="C82" s="61">
        <v>4020.3187048270952</v>
      </c>
      <c r="D82" s="62">
        <v>4967.1458747207207</v>
      </c>
      <c r="F82" s="32">
        <f>IF(C82,D82/C82-1,"")</f>
        <v>0.23551047551448945</v>
      </c>
      <c r="H82" s="61">
        <v>1080.2725318396253</v>
      </c>
      <c r="I82" s="62">
        <v>1387.102347124895</v>
      </c>
      <c r="K82" s="32">
        <f>IF(H82,I82/H82-1,"")</f>
        <v>0.28403000746743134</v>
      </c>
      <c r="M82" s="61">
        <f>SUM(M65,M75:M80)</f>
        <v>5100.5912366667199</v>
      </c>
      <c r="N82" s="62">
        <f>SUM(N65,N75:N80)</f>
        <v>6353.9378472237931</v>
      </c>
      <c r="P82" s="32">
        <f>IF(M82,N82/M82-1,"")</f>
        <v>0.2457257506830024</v>
      </c>
    </row>
    <row r="83" spans="1:16" ht="6" customHeight="1" x14ac:dyDescent="0.25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5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5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5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5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5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5">
      <c r="F89" s="22"/>
      <c r="K89" s="22"/>
      <c r="P89" s="22"/>
    </row>
    <row r="90" spans="1:16" x14ac:dyDescent="0.25">
      <c r="F90" s="22"/>
      <c r="K90" s="22"/>
      <c r="P90" s="22"/>
    </row>
    <row r="91" spans="1:16" ht="45" customHeight="1" x14ac:dyDescent="0.25">
      <c r="A91" s="23"/>
      <c r="F91" s="22"/>
      <c r="K91" s="22"/>
      <c r="P91" s="22"/>
    </row>
    <row r="92" spans="1:16" x14ac:dyDescent="0.25">
      <c r="A92" s="24"/>
      <c r="F92" s="22"/>
      <c r="K92" s="22"/>
      <c r="P92" s="22"/>
    </row>
    <row r="93" spans="1:16" s="54" customFormat="1" x14ac:dyDescent="0.25">
      <c r="A93" s="41"/>
    </row>
    <row r="94" spans="1:16" s="20" customFormat="1" ht="10.199999999999999" x14ac:dyDescent="0.2">
      <c r="A94" s="26"/>
    </row>
    <row r="95" spans="1:16" s="20" customFormat="1" ht="10.199999999999999" x14ac:dyDescent="0.2">
      <c r="A95" s="26"/>
    </row>
    <row r="96" spans="1:16" x14ac:dyDescent="0.25">
      <c r="A96" s="58"/>
      <c r="F96" s="22"/>
      <c r="K96" s="22"/>
      <c r="P96" s="22"/>
    </row>
    <row r="97" spans="1:16" s="20" customFormat="1" ht="10.199999999999999" x14ac:dyDescent="0.2">
      <c r="A97" s="26"/>
    </row>
    <row r="98" spans="1:16" s="20" customFormat="1" ht="10.199999999999999" x14ac:dyDescent="0.2">
      <c r="A98" s="26"/>
    </row>
    <row r="99" spans="1:16" s="20" customFormat="1" ht="10.199999999999999" x14ac:dyDescent="0.2">
      <c r="A99" s="26"/>
    </row>
    <row r="100" spans="1:16" s="20" customFormat="1" ht="10.199999999999999" x14ac:dyDescent="0.2">
      <c r="A100" s="26"/>
    </row>
    <row r="101" spans="1:16" s="20" customFormat="1" ht="10.199999999999999" x14ac:dyDescent="0.2">
      <c r="A101" s="26"/>
    </row>
    <row r="102" spans="1:16" s="54" customFormat="1" x14ac:dyDescent="0.25">
      <c r="A102" s="60"/>
    </row>
    <row r="103" spans="1:16" s="20" customFormat="1" ht="10.199999999999999" x14ac:dyDescent="0.2">
      <c r="A103" s="26"/>
    </row>
    <row r="104" spans="1:16" s="20" customFormat="1" ht="10.199999999999999" x14ac:dyDescent="0.2">
      <c r="A104" s="26"/>
    </row>
    <row r="105" spans="1:16" s="20" customFormat="1" ht="10.199999999999999" x14ac:dyDescent="0.2">
      <c r="A105" s="26"/>
    </row>
    <row r="106" spans="1:16" s="54" customFormat="1" x14ac:dyDescent="0.25">
      <c r="A106" s="60"/>
    </row>
    <row r="107" spans="1:16" s="54" customFormat="1" x14ac:dyDescent="0.25">
      <c r="A107" s="60"/>
    </row>
    <row r="108" spans="1:16" s="54" customFormat="1" x14ac:dyDescent="0.25">
      <c r="A108" s="60"/>
    </row>
    <row r="109" spans="1:16" ht="11.25" customHeight="1" x14ac:dyDescent="0.25">
      <c r="A109" s="22"/>
      <c r="F109" s="22"/>
      <c r="K109" s="22"/>
      <c r="P109" s="22"/>
    </row>
    <row r="110" spans="1:16" ht="15.6" x14ac:dyDescent="0.25">
      <c r="A110" s="30"/>
      <c r="F110" s="22"/>
      <c r="K110" s="22"/>
      <c r="P110" s="22"/>
    </row>
    <row r="111" spans="1:16" ht="6" customHeight="1" x14ac:dyDescent="0.25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5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5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5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5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5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5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5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5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5">
      <c r="A120" s="53"/>
      <c r="F120" s="53"/>
      <c r="K120" s="53"/>
      <c r="P120" s="53"/>
    </row>
    <row r="121" spans="1:16" s="39" customFormat="1" ht="44.1" customHeight="1" x14ac:dyDescent="0.25">
      <c r="A121" s="53"/>
      <c r="F121" s="53"/>
      <c r="K121" s="53"/>
      <c r="P121" s="53"/>
    </row>
    <row r="122" spans="1:16" s="39" customFormat="1" x14ac:dyDescent="0.25">
      <c r="A122" s="53"/>
      <c r="F122" s="53"/>
      <c r="K122" s="53"/>
      <c r="P122" s="53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5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5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5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5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5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5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5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5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5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5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5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5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5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5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5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5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5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5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5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5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5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5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5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5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5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5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5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5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5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5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14D1D6A0-E5E8-4F16-9769-7575064496F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summary_05 2025</vt:lpstr>
      <vt:lpstr>szacunek rynku_05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2025-06-17T11:12:05Z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