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pac\Documents\Analizy\SZACOWANIE RYNKU LEASINGU - ZPL\2025\06 2025\model pełny\"/>
    </mc:Choice>
  </mc:AlternateContent>
  <xr:revisionPtr revIDLastSave="0" documentId="13_ncr:1_{538C6C30-502B-4C15-8517-79EE58F792B2}" xr6:coauthVersionLast="36" xr6:coauthVersionMax="47" xr10:uidLastSave="{00000000-0000-0000-0000-000000000000}"/>
  <bookViews>
    <workbookView xWindow="0" yWindow="0" windowWidth="19200" windowHeight="4650" activeTab="1" xr2:uid="{71ECBEB2-2687-4063-A597-2A60A7860EDA}"/>
  </bookViews>
  <sheets>
    <sheet name="summary_06 2025" sheetId="4" r:id="rId1"/>
    <sheet name="szacunek rynku_06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5" i="3" l="1"/>
  <c r="P74" i="3"/>
  <c r="P73" i="3"/>
  <c r="I129" i="3" l="1"/>
  <c r="H129" i="3"/>
  <c r="D129" i="3"/>
  <c r="C129" i="3"/>
  <c r="I127" i="3"/>
  <c r="H127" i="3"/>
  <c r="D127" i="3"/>
  <c r="C127" i="3"/>
  <c r="D123" i="3"/>
  <c r="C123" i="3"/>
  <c r="I123" i="3"/>
  <c r="H123" i="3"/>
  <c r="I119" i="3"/>
  <c r="H119" i="3"/>
  <c r="D119" i="3"/>
  <c r="C119" i="3"/>
  <c r="I103" i="3"/>
  <c r="H103" i="3"/>
  <c r="D103" i="3"/>
  <c r="C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D102" i="3"/>
  <c r="C102" i="3"/>
  <c r="D101" i="3"/>
  <c r="C101" i="3"/>
  <c r="D100" i="3"/>
  <c r="C100" i="3"/>
  <c r="D99" i="3"/>
  <c r="C99" i="3"/>
  <c r="D98" i="3"/>
  <c r="C98" i="3"/>
  <c r="D97" i="3"/>
  <c r="C97" i="3"/>
  <c r="D96" i="3"/>
  <c r="C96" i="3"/>
  <c r="D95" i="3"/>
  <c r="C95" i="3"/>
  <c r="I94" i="3"/>
  <c r="H94" i="3"/>
  <c r="D94" i="3"/>
  <c r="C94" i="3"/>
  <c r="D128" i="3" l="1"/>
  <c r="D135" i="3" s="1"/>
  <c r="C128" i="3"/>
  <c r="C135" i="3" s="1"/>
  <c r="I128" i="3"/>
  <c r="H128" i="3"/>
  <c r="N25" i="3"/>
  <c r="M25" i="3"/>
  <c r="P25" i="3" s="1"/>
  <c r="N23" i="3"/>
  <c r="M23" i="3"/>
  <c r="N22" i="3"/>
  <c r="M22" i="3"/>
  <c r="N21" i="3"/>
  <c r="M21" i="3"/>
  <c r="N20" i="3"/>
  <c r="M20" i="3"/>
  <c r="N19" i="3"/>
  <c r="M19" i="3"/>
  <c r="N18" i="3"/>
  <c r="M18" i="3"/>
  <c r="N17" i="3"/>
  <c r="M17" i="3"/>
  <c r="N16" i="3"/>
  <c r="M16" i="3"/>
  <c r="N15" i="3"/>
  <c r="M15" i="3"/>
  <c r="N14" i="3"/>
  <c r="M14" i="3"/>
  <c r="N13" i="3"/>
  <c r="M13" i="3"/>
  <c r="N12" i="3"/>
  <c r="M12" i="3"/>
  <c r="P12" i="3" s="1"/>
  <c r="N11" i="3"/>
  <c r="M11" i="3"/>
  <c r="N10" i="3"/>
  <c r="M10" i="3"/>
  <c r="N9" i="3"/>
  <c r="M9" i="3"/>
  <c r="N8" i="3"/>
  <c r="M8" i="3"/>
  <c r="S29" i="3"/>
  <c r="R29" i="3"/>
  <c r="S27" i="3"/>
  <c r="F129" i="3" s="1"/>
  <c r="R27" i="3"/>
  <c r="K129" i="3" s="1"/>
  <c r="S25" i="3"/>
  <c r="R25" i="3"/>
  <c r="S23" i="3"/>
  <c r="R23" i="3"/>
  <c r="S22" i="3"/>
  <c r="R22" i="3"/>
  <c r="S21" i="3"/>
  <c r="R21" i="3"/>
  <c r="S20" i="3"/>
  <c r="R20" i="3"/>
  <c r="S19" i="3"/>
  <c r="R19" i="3"/>
  <c r="U19" i="3" s="1"/>
  <c r="S18" i="3"/>
  <c r="R18" i="3"/>
  <c r="S17" i="3"/>
  <c r="R17" i="3"/>
  <c r="S16" i="3"/>
  <c r="R16" i="3"/>
  <c r="S15" i="3"/>
  <c r="R15" i="3"/>
  <c r="S14" i="3"/>
  <c r="R14" i="3"/>
  <c r="S13" i="3"/>
  <c r="R13" i="3"/>
  <c r="S12" i="3"/>
  <c r="R12" i="3"/>
  <c r="S11" i="3"/>
  <c r="R11" i="3"/>
  <c r="S10" i="3"/>
  <c r="R10" i="3"/>
  <c r="S9" i="3"/>
  <c r="R9" i="3"/>
  <c r="S8" i="3"/>
  <c r="R8" i="3"/>
  <c r="I29" i="3"/>
  <c r="H29" i="3"/>
  <c r="K29" i="3" s="1"/>
  <c r="I27" i="3"/>
  <c r="H27" i="3"/>
  <c r="I25" i="3"/>
  <c r="H25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K14" i="3" s="1"/>
  <c r="I13" i="3"/>
  <c r="H13" i="3"/>
  <c r="I12" i="3"/>
  <c r="H12" i="3"/>
  <c r="I11" i="3"/>
  <c r="H11" i="3"/>
  <c r="I10" i="3"/>
  <c r="H10" i="3"/>
  <c r="I9" i="3"/>
  <c r="K9" i="3" s="1"/>
  <c r="H9" i="3"/>
  <c r="I8" i="3"/>
  <c r="H8" i="3"/>
  <c r="D27" i="3"/>
  <c r="C27" i="3"/>
  <c r="D25" i="3"/>
  <c r="C25" i="3"/>
  <c r="D23" i="3"/>
  <c r="C23" i="3"/>
  <c r="D22" i="3"/>
  <c r="C22" i="3"/>
  <c r="D21" i="3"/>
  <c r="C21" i="3"/>
  <c r="D20" i="3"/>
  <c r="C20" i="3"/>
  <c r="F20" i="3" s="1"/>
  <c r="D19" i="3"/>
  <c r="C19" i="3"/>
  <c r="D18" i="3"/>
  <c r="C18" i="3"/>
  <c r="D17" i="3"/>
  <c r="C17" i="3"/>
  <c r="D16" i="3"/>
  <c r="C16" i="3"/>
  <c r="F16" i="3" s="1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U84" i="3"/>
  <c r="U82" i="3"/>
  <c r="U80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K84" i="3"/>
  <c r="K82" i="3"/>
  <c r="K80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F82" i="3"/>
  <c r="F80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U15" i="3"/>
  <c r="K8" i="3"/>
  <c r="P48" i="3"/>
  <c r="P47" i="3"/>
  <c r="P46" i="3"/>
  <c r="U57" i="3"/>
  <c r="U55" i="3"/>
  <c r="U53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K57" i="3"/>
  <c r="K55" i="3"/>
  <c r="K53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F48" i="3"/>
  <c r="F47" i="3"/>
  <c r="F46" i="3"/>
  <c r="K62" i="3"/>
  <c r="I62" i="3"/>
  <c r="H62" i="3"/>
  <c r="H61" i="3"/>
  <c r="H6" i="3"/>
  <c r="K7" i="3"/>
  <c r="I7" i="3"/>
  <c r="H7" i="3"/>
  <c r="F10" i="3" l="1"/>
  <c r="F14" i="3"/>
  <c r="F22" i="3"/>
  <c r="K16" i="3"/>
  <c r="K20" i="3"/>
  <c r="U13" i="3"/>
  <c r="P18" i="3"/>
  <c r="F11" i="3"/>
  <c r="F15" i="3"/>
  <c r="F23" i="3"/>
  <c r="K13" i="3"/>
  <c r="K17" i="3"/>
  <c r="K21" i="3"/>
  <c r="K27" i="3"/>
  <c r="U14" i="3"/>
  <c r="U18" i="3"/>
  <c r="U22" i="3"/>
  <c r="U29" i="3"/>
  <c r="P11" i="3"/>
  <c r="F13" i="3"/>
  <c r="F17" i="3"/>
  <c r="K11" i="3"/>
  <c r="K15" i="3"/>
  <c r="K23" i="3"/>
  <c r="U16" i="3"/>
  <c r="P23" i="3"/>
  <c r="U17" i="3"/>
  <c r="U27" i="3"/>
  <c r="U10" i="3"/>
  <c r="U11" i="3"/>
  <c r="U23" i="3"/>
  <c r="F21" i="3"/>
  <c r="K19" i="3"/>
  <c r="U8" i="3"/>
  <c r="U12" i="3"/>
  <c r="U20" i="3"/>
  <c r="U25" i="3"/>
  <c r="P13" i="3"/>
  <c r="P17" i="3"/>
  <c r="F9" i="3"/>
  <c r="N81" i="4"/>
  <c r="K10" i="3"/>
  <c r="K22" i="3"/>
  <c r="U9" i="3"/>
  <c r="U21" i="3"/>
  <c r="P8" i="3"/>
  <c r="P14" i="3"/>
  <c r="P20" i="3"/>
  <c r="F12" i="3"/>
  <c r="F18" i="3"/>
  <c r="F25" i="3"/>
  <c r="P9" i="3"/>
  <c r="P15" i="3"/>
  <c r="P21" i="3"/>
  <c r="F19" i="3"/>
  <c r="F27" i="3"/>
  <c r="K12" i="3"/>
  <c r="K18" i="3"/>
  <c r="K25" i="3"/>
  <c r="P10" i="3"/>
  <c r="P16" i="3"/>
  <c r="P22" i="3"/>
  <c r="N79" i="4"/>
  <c r="N80" i="4"/>
  <c r="P19" i="3"/>
  <c r="F8" i="3"/>
  <c r="F57" i="3" l="1"/>
  <c r="F55" i="3"/>
  <c r="F53" i="3"/>
  <c r="D84" i="3"/>
  <c r="D29" i="3" s="1"/>
  <c r="C84" i="3"/>
  <c r="F84" i="3" l="1"/>
  <c r="C29" i="3"/>
  <c r="F29" i="3" s="1"/>
  <c r="N102" i="3"/>
  <c r="M102" i="3"/>
  <c r="N101" i="3"/>
  <c r="M101" i="3"/>
  <c r="N100" i="3"/>
  <c r="M100" i="3"/>
  <c r="N99" i="3"/>
  <c r="N98" i="3"/>
  <c r="M98" i="3"/>
  <c r="N97" i="3"/>
  <c r="M97" i="3"/>
  <c r="N96" i="3"/>
  <c r="M96" i="3"/>
  <c r="N95" i="3"/>
  <c r="N94" i="3"/>
  <c r="M94" i="3"/>
  <c r="P134" i="3"/>
  <c r="N134" i="3"/>
  <c r="M134" i="3"/>
  <c r="P133" i="3"/>
  <c r="N133" i="3"/>
  <c r="M133" i="3"/>
  <c r="P132" i="3"/>
  <c r="N132" i="3"/>
  <c r="M132" i="3"/>
  <c r="P131" i="3"/>
  <c r="N131" i="3"/>
  <c r="M131" i="3"/>
  <c r="P130" i="3"/>
  <c r="N130" i="3"/>
  <c r="M130" i="3"/>
  <c r="N129" i="3"/>
  <c r="M129" i="3"/>
  <c r="N127" i="3"/>
  <c r="M127" i="3"/>
  <c r="N126" i="3"/>
  <c r="M126" i="3"/>
  <c r="N125" i="3"/>
  <c r="M125" i="3"/>
  <c r="N124" i="3"/>
  <c r="M124" i="3"/>
  <c r="N123" i="3"/>
  <c r="M123" i="3"/>
  <c r="N122" i="3"/>
  <c r="M122" i="3"/>
  <c r="N121" i="3"/>
  <c r="M121" i="3"/>
  <c r="N120" i="3"/>
  <c r="M120" i="3"/>
  <c r="N119" i="3"/>
  <c r="M119" i="3"/>
  <c r="N117" i="3"/>
  <c r="M117" i="3"/>
  <c r="N116" i="3"/>
  <c r="M116" i="3"/>
  <c r="N115" i="3"/>
  <c r="M115" i="3"/>
  <c r="N114" i="3"/>
  <c r="M114" i="3"/>
  <c r="N113" i="3"/>
  <c r="M113" i="3"/>
  <c r="N112" i="3"/>
  <c r="M112" i="3"/>
  <c r="N111" i="3"/>
  <c r="M111" i="3"/>
  <c r="N110" i="3"/>
  <c r="M110" i="3"/>
  <c r="N109" i="3"/>
  <c r="M109" i="3"/>
  <c r="N108" i="3"/>
  <c r="M108" i="3"/>
  <c r="N107" i="3"/>
  <c r="M107" i="3"/>
  <c r="N106" i="3"/>
  <c r="M106" i="3"/>
  <c r="N105" i="3"/>
  <c r="M105" i="3"/>
  <c r="N104" i="3"/>
  <c r="M104" i="3"/>
  <c r="M95" i="3"/>
  <c r="H90" i="3"/>
  <c r="K127" i="3"/>
  <c r="K126" i="3"/>
  <c r="K125" i="3"/>
  <c r="K124" i="3"/>
  <c r="K122" i="3"/>
  <c r="K121" i="3"/>
  <c r="K120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2" i="3" l="1"/>
  <c r="K95" i="3"/>
  <c r="K96" i="3"/>
  <c r="K99" i="3"/>
  <c r="K100" i="3"/>
  <c r="K101" i="3"/>
  <c r="I135" i="3"/>
  <c r="N135" i="3" s="1"/>
  <c r="M99" i="3"/>
  <c r="K123" i="3"/>
  <c r="H135" i="3"/>
  <c r="M135" i="3" s="1"/>
  <c r="M103" i="3"/>
  <c r="N103" i="3"/>
  <c r="M128" i="3"/>
  <c r="K119" i="3"/>
  <c r="K98" i="3"/>
  <c r="K118" i="3" l="1"/>
  <c r="K103" i="3" s="1"/>
  <c r="N128" i="3"/>
  <c r="K94" i="3"/>
  <c r="K97" i="3"/>
  <c r="K128" i="3" l="1"/>
  <c r="K135" i="3" s="1"/>
  <c r="J114" i="4" l="1"/>
  <c r="N118" i="4"/>
  <c r="N117" i="4"/>
  <c r="N116" i="4"/>
  <c r="N115" i="4"/>
  <c r="N114" i="4"/>
  <c r="J79" i="4" l="1"/>
  <c r="N47" i="4"/>
  <c r="N46" i="4"/>
  <c r="N45" i="4"/>
  <c r="N44" i="4"/>
  <c r="J44" i="4"/>
  <c r="J11" i="4"/>
  <c r="N118" i="3" l="1"/>
  <c r="M118" i="3"/>
  <c r="C90" i="3"/>
  <c r="P129" i="3"/>
  <c r="F127" i="3"/>
  <c r="P127" i="3" s="1"/>
  <c r="F126" i="3"/>
  <c r="P126" i="3" s="1"/>
  <c r="F125" i="3"/>
  <c r="P125" i="3" s="1"/>
  <c r="F122" i="3"/>
  <c r="P122" i="3" s="1"/>
  <c r="F121" i="3"/>
  <c r="P121" i="3" s="1"/>
  <c r="F117" i="3"/>
  <c r="P117" i="3" s="1"/>
  <c r="F116" i="3"/>
  <c r="P116" i="3" s="1"/>
  <c r="F115" i="3"/>
  <c r="P115" i="3" s="1"/>
  <c r="F114" i="3"/>
  <c r="P114" i="3" s="1"/>
  <c r="F113" i="3"/>
  <c r="P113" i="3" s="1"/>
  <c r="F112" i="3"/>
  <c r="P112" i="3" s="1"/>
  <c r="F111" i="3"/>
  <c r="P111" i="3" s="1"/>
  <c r="F110" i="3"/>
  <c r="P110" i="3" s="1"/>
  <c r="F109" i="3"/>
  <c r="P109" i="3" s="1"/>
  <c r="F108" i="3"/>
  <c r="P108" i="3" s="1"/>
  <c r="F107" i="3"/>
  <c r="P107" i="3" s="1"/>
  <c r="F106" i="3"/>
  <c r="P106" i="3" s="1"/>
  <c r="F105" i="3"/>
  <c r="P105" i="3" s="1"/>
  <c r="F102" i="3"/>
  <c r="P102" i="3" s="1"/>
  <c r="F101" i="3"/>
  <c r="P101" i="3" s="1"/>
  <c r="F100" i="3"/>
  <c r="P100" i="3" s="1"/>
  <c r="F99" i="3"/>
  <c r="P99" i="3" s="1"/>
  <c r="F98" i="3"/>
  <c r="P98" i="3" s="1"/>
  <c r="F95" i="3"/>
  <c r="P95" i="3" s="1"/>
  <c r="P77" i="3"/>
  <c r="P69" i="3"/>
  <c r="P68" i="3"/>
  <c r="P66" i="3"/>
  <c r="P65" i="3"/>
  <c r="P72" i="3" l="1"/>
  <c r="P67" i="3"/>
  <c r="P76" i="3"/>
  <c r="N11" i="4"/>
  <c r="P64" i="3"/>
  <c r="P70" i="3"/>
  <c r="P80" i="3"/>
  <c r="J16" i="4"/>
  <c r="P63" i="3"/>
  <c r="J14" i="4"/>
  <c r="J15" i="4"/>
  <c r="F97" i="3"/>
  <c r="P97" i="3" s="1"/>
  <c r="F96" i="3"/>
  <c r="F104" i="3"/>
  <c r="P104" i="3" s="1"/>
  <c r="F120" i="3"/>
  <c r="F124" i="3"/>
  <c r="P71" i="3"/>
  <c r="P78" i="3"/>
  <c r="R6" i="3"/>
  <c r="R61" i="3"/>
  <c r="F123" i="3" l="1"/>
  <c r="P123" i="3" s="1"/>
  <c r="P124" i="3"/>
  <c r="F94" i="3"/>
  <c r="P94" i="3" s="1"/>
  <c r="P96" i="3"/>
  <c r="F119" i="3"/>
  <c r="P119" i="3" s="1"/>
  <c r="P120" i="3"/>
  <c r="K16" i="4"/>
  <c r="K15" i="4"/>
  <c r="K14" i="4"/>
  <c r="S7" i="3"/>
  <c r="R7" i="3"/>
  <c r="U7" i="3"/>
  <c r="U62" i="3"/>
  <c r="S62" i="3"/>
  <c r="R62" i="3"/>
  <c r="C6" i="3" l="1"/>
  <c r="C61" i="3"/>
  <c r="F7" i="3"/>
  <c r="D7" i="3"/>
  <c r="C7" i="3"/>
  <c r="F62" i="3"/>
  <c r="D62" i="3"/>
  <c r="C62" i="3"/>
  <c r="F51" i="3"/>
  <c r="F50" i="3"/>
  <c r="F49" i="3"/>
  <c r="F45" i="3"/>
  <c r="F44" i="3"/>
  <c r="F43" i="3"/>
  <c r="F42" i="3"/>
  <c r="F41" i="3"/>
  <c r="F40" i="3"/>
  <c r="F39" i="3"/>
  <c r="F38" i="3"/>
  <c r="F37" i="3"/>
  <c r="F36" i="3"/>
  <c r="J45" i="4" l="1"/>
  <c r="N12" i="4"/>
  <c r="J115" i="4" l="1"/>
  <c r="J80" i="4"/>
  <c r="J12" i="4"/>
  <c r="P7" i="3" l="1"/>
  <c r="N7" i="3"/>
  <c r="M7" i="3"/>
  <c r="M6" i="3"/>
  <c r="P62" i="3"/>
  <c r="N62" i="3"/>
  <c r="M62" i="3"/>
  <c r="M61" i="3"/>
  <c r="P51" i="3"/>
  <c r="P50" i="3"/>
  <c r="P49" i="3"/>
  <c r="P45" i="3"/>
  <c r="P44" i="3"/>
  <c r="P43" i="3"/>
  <c r="P42" i="3"/>
  <c r="P41" i="3"/>
  <c r="P40" i="3"/>
  <c r="P38" i="3"/>
  <c r="P37" i="3"/>
  <c r="P39" i="3" l="1"/>
  <c r="P53" i="3"/>
  <c r="P36" i="3"/>
  <c r="F118" i="3" l="1"/>
  <c r="P118" i="3" s="1"/>
  <c r="F103" i="3" l="1"/>
  <c r="P103" i="3" s="1"/>
  <c r="F128" i="3" l="1"/>
  <c r="F135" i="3" s="1"/>
  <c r="P135" i="3" s="1"/>
  <c r="P128" i="3" l="1"/>
</calcChain>
</file>

<file path=xl/sharedStrings.xml><?xml version="1.0" encoding="utf-8"?>
<sst xmlns="http://schemas.openxmlformats.org/spreadsheetml/2006/main" count="170" uniqueCount="97">
  <si>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</si>
  <si>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</si>
  <si>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</si>
  <si>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</si>
  <si>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</si>
  <si>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</si>
  <si>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</si>
  <si>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</si>
  <si>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</si>
  <si>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</si>
  <si>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</si>
  <si>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</si>
  <si>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</si>
  <si>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</si>
  <si>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</si>
  <si>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</si>
  <si>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</si>
  <si>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</si>
  <si>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</si>
  <si>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</si>
  <si>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</si>
  <si>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</si>
  <si>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</si>
  <si>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</si>
  <si>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</si>
  <si>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</si>
  <si>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</si>
  <si>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</si>
  <si>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</si>
  <si>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</si>
  <si>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</si>
  <si>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</si>
  <si>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</si>
  <si>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</si>
  <si>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</si>
  <si>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02/2025</t>
  </si>
  <si>
    <t>I-III 2025 vs I-III 2024</t>
  </si>
  <si>
    <t>nieruchomości</t>
  </si>
  <si>
    <t>łączne finansowanie - leasing</t>
  </si>
  <si>
    <t>łączne finansowanie - pożyczka</t>
  </si>
  <si>
    <t>łączne finansowanie - leasing + pożyczka</t>
  </si>
  <si>
    <t>I-III 2024</t>
  </si>
  <si>
    <t>I-III 2025</t>
  </si>
  <si>
    <t>Leasing</t>
  </si>
  <si>
    <t>Pożyczka</t>
  </si>
  <si>
    <t>Leasing + Pożyczka</t>
  </si>
  <si>
    <t>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</si>
  <si>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</si>
  <si>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</si>
  <si>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</si>
  <si>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</si>
  <si>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</si>
  <si>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</si>
  <si>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</si>
  <si>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</si>
  <si>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</si>
  <si>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</si>
  <si>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</si>
  <si>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</si>
  <si>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</si>
  <si>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</si>
  <si>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</si>
  <si>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</si>
  <si>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</si>
  <si>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</si>
  <si>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</si>
  <si>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</si>
  <si>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</si>
  <si>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</si>
  <si>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</si>
  <si>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</si>
  <si>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 xml:space="preserve">NIERUCHOMOŚCI </t>
  </si>
  <si>
    <t>budynki przemysłowe</t>
  </si>
  <si>
    <t>obiekty handlowe i usługowe</t>
  </si>
  <si>
    <t>obiekty biurowe</t>
  </si>
  <si>
    <t>hotele i obiekty rekreacyjne</t>
  </si>
  <si>
    <t>OGÓŁEM RUCHOMOŚCI I NIERUCHOMOŚCI</t>
  </si>
  <si>
    <t>01-03 2025</t>
  </si>
  <si>
    <t>I kw. 2025</t>
  </si>
  <si>
    <t>zmiana r/r</t>
  </si>
  <si>
    <t>IV-VI 2025 vs IV-VI 2024</t>
  </si>
  <si>
    <t>VI 2025 vs VI 2024</t>
  </si>
  <si>
    <t>I-VI 2025 vs I-VI 2024</t>
  </si>
  <si>
    <t>I-III 25/
I-III 24</t>
  </si>
  <si>
    <t>IV-VI 2024</t>
  </si>
  <si>
    <t>IV-VI 2025</t>
  </si>
  <si>
    <t>IV-VI 2025/
IV-VI 2024</t>
  </si>
  <si>
    <t>VI 2024</t>
  </si>
  <si>
    <t>VI 2025</t>
  </si>
  <si>
    <t>VI 25 / 
VI 24</t>
  </si>
  <si>
    <t>I-VI 2024</t>
  </si>
  <si>
    <t>I-VI 2025</t>
  </si>
  <si>
    <t>I-VI 25/
I-VI 24</t>
  </si>
  <si>
    <t>FINANSOWANIE POJAZDÓW LEKKICH - I-II kw. 2025r. 
Łączne finansowanie leasingiem i pożyczką</t>
  </si>
  <si>
    <t>FINANSOWANIE POJAZDÓW CIĘŻKICH - I-II kw. 2025r. 
Łączne finansowanie leasingiem i pożyczką</t>
  </si>
  <si>
    <t>FINANSOWANIE MASZYN - I-II kw. 2025r. 
Łączne finansowanie leasingiem i pożyczką</t>
  </si>
  <si>
    <t>Związek Polskiego Leasingu, Warszawa, dnia 07-08-2025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</si>
</sst>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#,##0.000"/>
  </numFmts>
  <fonts count="28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E93A5"/>
        <bgColor indexed="64"/>
      </patternFill>
    </fill>
    <fill>
      <patternFill patternType="solid">
        <fgColor rgb="FFA7CFEA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 applyBorder="0"/>
  </cellStyleXfs>
  <cellXfs count="1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8" fillId="0" borderId="0" xfId="3"/>
    <xf numFmtId="0" fontId="8" fillId="0" borderId="18" xfId="3" applyBorder="1"/>
    <xf numFmtId="0" fontId="24" fillId="0" borderId="15" xfId="3" applyFont="1" applyBorder="1" applyAlignment="1">
      <alignment horizontal="left"/>
    </xf>
    <xf numFmtId="165" fontId="23" fillId="0" borderId="16" xfId="6" applyNumberFormat="1" applyFont="1" applyBorder="1" applyAlignment="1">
      <alignment vertical="center"/>
    </xf>
    <xf numFmtId="165" fontId="23" fillId="0" borderId="17" xfId="6" applyNumberFormat="1" applyFont="1" applyBorder="1" applyAlignment="1">
      <alignment vertical="center"/>
    </xf>
    <xf numFmtId="165" fontId="23" fillId="0" borderId="18" xfId="6" applyNumberFormat="1" applyFont="1" applyBorder="1" applyAlignment="1">
      <alignment vertical="center"/>
    </xf>
    <xf numFmtId="165" fontId="23" fillId="0" borderId="19" xfId="6" applyNumberFormat="1" applyFont="1" applyBorder="1" applyAlignment="1">
      <alignment vertical="center"/>
    </xf>
    <xf numFmtId="0" fontId="25" fillId="3" borderId="20" xfId="6" applyFont="1" applyFill="1" applyBorder="1" applyAlignment="1">
      <alignment horizontal="left" vertical="center" indent="1"/>
    </xf>
    <xf numFmtId="165" fontId="25" fillId="0" borderId="20" xfId="6" applyNumberFormat="1" applyFont="1" applyBorder="1" applyAlignment="1">
      <alignment vertical="center"/>
    </xf>
    <xf numFmtId="165" fontId="25" fillId="0" borderId="21" xfId="6" applyNumberFormat="1" applyFont="1" applyBorder="1" applyAlignment="1">
      <alignment vertical="center"/>
    </xf>
    <xf numFmtId="165" fontId="25" fillId="0" borderId="18" xfId="6" applyNumberFormat="1" applyFont="1" applyBorder="1" applyAlignment="1">
      <alignment vertical="center"/>
    </xf>
    <xf numFmtId="165" fontId="25" fillId="0" borderId="22" xfId="6" applyNumberFormat="1" applyFont="1" applyBorder="1" applyAlignment="1">
      <alignment vertical="center"/>
    </xf>
    <xf numFmtId="0" fontId="25" fillId="3" borderId="23" xfId="6" applyFont="1" applyFill="1" applyBorder="1" applyAlignment="1">
      <alignment horizontal="left" vertical="center" indent="1"/>
    </xf>
    <xf numFmtId="165" fontId="25" fillId="3" borderId="23" xfId="6" applyNumberFormat="1" applyFont="1" applyFill="1" applyBorder="1" applyAlignment="1">
      <alignment vertical="center"/>
    </xf>
    <xf numFmtId="165" fontId="25" fillId="3" borderId="24" xfId="6" applyNumberFormat="1" applyFont="1" applyFill="1" applyBorder="1" applyAlignment="1">
      <alignment vertical="center"/>
    </xf>
    <xf numFmtId="165" fontId="25" fillId="3" borderId="25" xfId="6" applyNumberFormat="1" applyFont="1" applyFill="1" applyBorder="1" applyAlignment="1">
      <alignment vertical="center"/>
    </xf>
    <xf numFmtId="0" fontId="25" fillId="3" borderId="23" xfId="6" applyFont="1" applyFill="1" applyBorder="1" applyAlignment="1">
      <alignment horizontal="left" vertical="center" indent="2"/>
    </xf>
    <xf numFmtId="165" fontId="25" fillId="0" borderId="23" xfId="6" applyNumberFormat="1" applyFont="1" applyBorder="1" applyAlignment="1">
      <alignment vertical="center"/>
    </xf>
    <xf numFmtId="165" fontId="25" fillId="0" borderId="24" xfId="6" applyNumberFormat="1" applyFont="1" applyBorder="1" applyAlignment="1">
      <alignment vertical="center"/>
    </xf>
    <xf numFmtId="165" fontId="25" fillId="0" borderId="25" xfId="6" applyNumberFormat="1" applyFont="1" applyBorder="1" applyAlignment="1">
      <alignment vertical="center"/>
    </xf>
    <xf numFmtId="0" fontId="25" fillId="3" borderId="26" xfId="6" applyFont="1" applyFill="1" applyBorder="1" applyAlignment="1">
      <alignment horizontal="left" vertical="center" indent="1"/>
    </xf>
    <xf numFmtId="165" fontId="25" fillId="0" borderId="26" xfId="6" applyNumberFormat="1" applyFont="1" applyBorder="1" applyAlignment="1">
      <alignment vertical="center"/>
    </xf>
    <xf numFmtId="165" fontId="25" fillId="0" borderId="27" xfId="6" applyNumberFormat="1" applyFont="1" applyBorder="1" applyAlignment="1">
      <alignment vertical="center"/>
    </xf>
    <xf numFmtId="165" fontId="25" fillId="0" borderId="28" xfId="6" applyNumberFormat="1" applyFont="1" applyBorder="1" applyAlignment="1">
      <alignment vertical="center"/>
    </xf>
    <xf numFmtId="0" fontId="23" fillId="3" borderId="15" xfId="6" applyFont="1" applyFill="1" applyBorder="1" applyAlignment="1">
      <alignment vertical="center"/>
    </xf>
    <xf numFmtId="165" fontId="23" fillId="0" borderId="29" xfId="6" applyNumberFormat="1" applyFont="1" applyBorder="1" applyAlignment="1">
      <alignment vertical="center"/>
    </xf>
    <xf numFmtId="165" fontId="23" fillId="0" borderId="30" xfId="6" applyNumberFormat="1" applyFont="1" applyBorder="1" applyAlignment="1">
      <alignment vertical="center"/>
    </xf>
    <xf numFmtId="0" fontId="21" fillId="0" borderId="20" xfId="3" applyFont="1" applyBorder="1" applyAlignment="1">
      <alignment horizontal="left" indent="1"/>
    </xf>
    <xf numFmtId="165" fontId="21" fillId="0" borderId="20" xfId="3" applyNumberFormat="1" applyFont="1" applyBorder="1" applyAlignment="1">
      <alignment horizontal="right"/>
    </xf>
    <xf numFmtId="165" fontId="21" fillId="0" borderId="21" xfId="3" applyNumberFormat="1" applyFont="1" applyBorder="1"/>
    <xf numFmtId="165" fontId="21" fillId="0" borderId="18" xfId="3" applyNumberFormat="1" applyFont="1" applyBorder="1"/>
    <xf numFmtId="165" fontId="21" fillId="0" borderId="22" xfId="3" applyNumberFormat="1" applyFont="1" applyBorder="1"/>
    <xf numFmtId="0" fontId="21" fillId="0" borderId="23" xfId="3" applyFont="1" applyBorder="1" applyAlignment="1">
      <alignment horizontal="left" indent="1"/>
    </xf>
    <xf numFmtId="165" fontId="21" fillId="0" borderId="25" xfId="3" applyNumberFormat="1" applyFont="1" applyBorder="1"/>
    <xf numFmtId="0" fontId="21" fillId="0" borderId="26" xfId="3" applyFont="1" applyBorder="1" applyAlignment="1">
      <alignment horizontal="left" indent="1"/>
    </xf>
    <xf numFmtId="165" fontId="24" fillId="0" borderId="29" xfId="3" applyNumberFormat="1" applyFont="1" applyBorder="1" applyAlignment="1">
      <alignment horizontal="right"/>
    </xf>
    <xf numFmtId="165" fontId="21" fillId="0" borderId="23" xfId="3" applyNumberFormat="1" applyFont="1" applyBorder="1" applyAlignment="1">
      <alignment horizontal="right"/>
    </xf>
    <xf numFmtId="165" fontId="21" fillId="0" borderId="24" xfId="3" applyNumberFormat="1" applyFont="1" applyBorder="1"/>
    <xf numFmtId="165" fontId="24" fillId="0" borderId="30" xfId="3" applyNumberFormat="1" applyFont="1" applyBorder="1"/>
    <xf numFmtId="165" fontId="24" fillId="0" borderId="18" xfId="3" applyNumberFormat="1" applyFont="1" applyBorder="1"/>
    <xf numFmtId="165" fontId="24" fillId="0" borderId="19" xfId="3" applyNumberFormat="1" applyFont="1" applyBorder="1"/>
    <xf numFmtId="165" fontId="21" fillId="5" borderId="20" xfId="3" applyNumberFormat="1" applyFont="1" applyFill="1" applyBorder="1"/>
    <xf numFmtId="165" fontId="21" fillId="5" borderId="21" xfId="3" applyNumberFormat="1" applyFont="1" applyFill="1" applyBorder="1"/>
    <xf numFmtId="165" fontId="21" fillId="5" borderId="23" xfId="3" applyNumberFormat="1" applyFont="1" applyFill="1" applyBorder="1" applyAlignment="1">
      <alignment horizontal="right"/>
    </xf>
    <xf numFmtId="165" fontId="21" fillId="5" borderId="24" xfId="3" applyNumberFormat="1" applyFont="1" applyFill="1" applyBorder="1" applyAlignment="1">
      <alignment horizontal="right"/>
    </xf>
    <xf numFmtId="165" fontId="21" fillId="0" borderId="18" xfId="3" applyNumberFormat="1" applyFont="1" applyBorder="1" applyAlignment="1">
      <alignment horizontal="right"/>
    </xf>
    <xf numFmtId="165" fontId="21" fillId="5" borderId="26" xfId="3" applyNumberFormat="1" applyFont="1" applyFill="1" applyBorder="1" applyAlignment="1">
      <alignment horizontal="right"/>
    </xf>
    <xf numFmtId="165" fontId="21" fillId="5" borderId="27" xfId="3" applyNumberFormat="1" applyFont="1" applyFill="1" applyBorder="1" applyAlignment="1">
      <alignment horizontal="right"/>
    </xf>
    <xf numFmtId="165" fontId="23" fillId="0" borderId="0" xfId="6" applyNumberFormat="1" applyFont="1" applyBorder="1" applyAlignment="1">
      <alignment horizontal="center" vertical="center" wrapText="1"/>
    </xf>
    <xf numFmtId="165" fontId="22" fillId="4" borderId="10" xfId="6" applyNumberFormat="1" applyFont="1" applyFill="1" applyBorder="1" applyAlignment="1">
      <alignment horizontal="center" vertical="center" wrapText="1"/>
    </xf>
    <xf numFmtId="165" fontId="22" fillId="7" borderId="31" xfId="6" applyNumberFormat="1" applyFont="1" applyFill="1" applyBorder="1" applyAlignment="1">
      <alignment horizontal="center" vertical="center" wrapText="1"/>
    </xf>
    <xf numFmtId="165" fontId="22" fillId="6" borderId="31" xfId="6" applyNumberFormat="1" applyFont="1" applyFill="1" applyBorder="1" applyAlignment="1">
      <alignment horizontal="center" vertical="center" wrapText="1"/>
    </xf>
    <xf numFmtId="164" fontId="23" fillId="0" borderId="16" xfId="5" applyNumberFormat="1" applyFont="1" applyBorder="1" applyAlignment="1">
      <alignment vertical="center"/>
    </xf>
    <xf numFmtId="164" fontId="23" fillId="0" borderId="17" xfId="5" applyNumberFormat="1" applyFont="1" applyBorder="1" applyAlignment="1">
      <alignment vertical="center"/>
    </xf>
    <xf numFmtId="164" fontId="23" fillId="0" borderId="18" xfId="5" applyNumberFormat="1" applyFont="1" applyFill="1" applyBorder="1" applyAlignment="1">
      <alignment vertical="center"/>
    </xf>
    <xf numFmtId="164" fontId="23" fillId="0" borderId="19" xfId="5" applyNumberFormat="1" applyFont="1" applyBorder="1" applyAlignment="1">
      <alignment vertical="center"/>
    </xf>
    <xf numFmtId="164" fontId="25" fillId="0" borderId="20" xfId="5" applyNumberFormat="1" applyFont="1" applyBorder="1" applyAlignment="1">
      <alignment vertical="center"/>
    </xf>
    <xf numFmtId="164" fontId="25" fillId="0" borderId="21" xfId="5" applyNumberFormat="1" applyFont="1" applyBorder="1" applyAlignment="1">
      <alignment vertical="center"/>
    </xf>
    <xf numFmtId="164" fontId="25" fillId="0" borderId="18" xfId="5" applyNumberFormat="1" applyFont="1" applyFill="1" applyBorder="1" applyAlignment="1">
      <alignment vertical="center"/>
    </xf>
    <xf numFmtId="164" fontId="25" fillId="0" borderId="22" xfId="5" applyNumberFormat="1" applyFont="1" applyBorder="1" applyAlignment="1">
      <alignment vertical="center"/>
    </xf>
    <xf numFmtId="164" fontId="25" fillId="3" borderId="23" xfId="5" applyNumberFormat="1" applyFont="1" applyFill="1" applyBorder="1" applyAlignment="1">
      <alignment vertical="center"/>
    </xf>
    <xf numFmtId="164" fontId="25" fillId="3" borderId="24" xfId="5" applyNumberFormat="1" applyFont="1" applyFill="1" applyBorder="1" applyAlignment="1">
      <alignment vertical="center"/>
    </xf>
    <xf numFmtId="164" fontId="25" fillId="3" borderId="25" xfId="5" applyNumberFormat="1" applyFont="1" applyFill="1" applyBorder="1" applyAlignment="1">
      <alignment vertical="center"/>
    </xf>
    <xf numFmtId="164" fontId="25" fillId="0" borderId="23" xfId="5" applyNumberFormat="1" applyFont="1" applyBorder="1" applyAlignment="1">
      <alignment vertical="center"/>
    </xf>
    <xf numFmtId="164" fontId="25" fillId="0" borderId="24" xfId="5" applyNumberFormat="1" applyFont="1" applyBorder="1" applyAlignment="1">
      <alignment vertical="center"/>
    </xf>
    <xf numFmtId="164" fontId="25" fillId="0" borderId="25" xfId="5" applyNumberFormat="1" applyFont="1" applyBorder="1" applyAlignment="1">
      <alignment vertical="center"/>
    </xf>
    <xf numFmtId="164" fontId="25" fillId="0" borderId="26" xfId="5" applyNumberFormat="1" applyFont="1" applyBorder="1" applyAlignment="1">
      <alignment vertical="center"/>
    </xf>
    <xf numFmtId="164" fontId="25" fillId="0" borderId="27" xfId="5" applyNumberFormat="1" applyFont="1" applyBorder="1" applyAlignment="1">
      <alignment vertical="center"/>
    </xf>
    <xf numFmtId="164" fontId="25" fillId="0" borderId="28" xfId="5" applyNumberFormat="1" applyFont="1" applyBorder="1" applyAlignment="1">
      <alignment vertical="center"/>
    </xf>
    <xf numFmtId="164" fontId="23" fillId="0" borderId="29" xfId="5" applyNumberFormat="1" applyFont="1" applyBorder="1" applyAlignment="1">
      <alignment vertical="center"/>
    </xf>
    <xf numFmtId="164" fontId="23" fillId="0" borderId="30" xfId="5" applyNumberFormat="1" applyFont="1" applyBorder="1" applyAlignment="1">
      <alignment vertical="center"/>
    </xf>
    <xf numFmtId="164" fontId="21" fillId="0" borderId="20" xfId="5" applyNumberFormat="1" applyFont="1" applyBorder="1" applyAlignment="1">
      <alignment horizontal="right"/>
    </xf>
    <xf numFmtId="164" fontId="21" fillId="0" borderId="21" xfId="5" applyNumberFormat="1" applyFont="1" applyBorder="1"/>
    <xf numFmtId="164" fontId="21" fillId="0" borderId="18" xfId="5" applyNumberFormat="1" applyFont="1" applyFill="1" applyBorder="1"/>
    <xf numFmtId="164" fontId="21" fillId="0" borderId="22" xfId="5" applyNumberFormat="1" applyFont="1" applyBorder="1"/>
    <xf numFmtId="164" fontId="21" fillId="0" borderId="25" xfId="5" applyNumberFormat="1" applyFont="1" applyBorder="1"/>
    <xf numFmtId="164" fontId="21" fillId="0" borderId="20" xfId="5" applyNumberFormat="1" applyFont="1" applyFill="1" applyBorder="1" applyAlignment="1">
      <alignment horizontal="right"/>
    </xf>
    <xf numFmtId="164" fontId="21" fillId="0" borderId="21" xfId="5" applyNumberFormat="1" applyFont="1" applyFill="1" applyBorder="1"/>
    <xf numFmtId="164" fontId="21" fillId="0" borderId="25" xfId="5" applyNumberFormat="1" applyFont="1" applyFill="1" applyBorder="1"/>
    <xf numFmtId="164" fontId="24" fillId="0" borderId="29" xfId="5" applyNumberFormat="1" applyFont="1" applyBorder="1" applyAlignment="1">
      <alignment horizontal="right"/>
    </xf>
    <xf numFmtId="164" fontId="21" fillId="0" borderId="23" xfId="5" applyNumberFormat="1" applyFont="1" applyBorder="1" applyAlignment="1">
      <alignment horizontal="right"/>
    </xf>
    <xf numFmtId="164" fontId="21" fillId="0" borderId="24" xfId="5" applyNumberFormat="1" applyFont="1" applyBorder="1"/>
    <xf numFmtId="164" fontId="24" fillId="0" borderId="30" xfId="5" applyNumberFormat="1" applyFont="1" applyBorder="1"/>
    <xf numFmtId="164" fontId="24" fillId="0" borderId="18" xfId="5" applyNumberFormat="1" applyFont="1" applyFill="1" applyBorder="1"/>
    <xf numFmtId="164" fontId="24" fillId="0" borderId="19" xfId="5" applyNumberFormat="1" applyFont="1" applyBorder="1"/>
    <xf numFmtId="164" fontId="21" fillId="5" borderId="20" xfId="5" applyNumberFormat="1" applyFont="1" applyFill="1" applyBorder="1"/>
    <xf numFmtId="164" fontId="21" fillId="5" borderId="21" xfId="5" applyNumberFormat="1" applyFont="1" applyFill="1" applyBorder="1"/>
    <xf numFmtId="164" fontId="21" fillId="5" borderId="23" xfId="5" applyNumberFormat="1" applyFont="1" applyFill="1" applyBorder="1" applyAlignment="1">
      <alignment horizontal="right"/>
    </xf>
    <xf numFmtId="164" fontId="21" fillId="5" borderId="24" xfId="5" applyNumberFormat="1" applyFont="1" applyFill="1" applyBorder="1" applyAlignment="1">
      <alignment horizontal="right"/>
    </xf>
    <xf numFmtId="164" fontId="21" fillId="0" borderId="18" xfId="5" applyNumberFormat="1" applyFont="1" applyFill="1" applyBorder="1" applyAlignment="1">
      <alignment horizontal="right"/>
    </xf>
    <xf numFmtId="164" fontId="21" fillId="5" borderId="26" xfId="5" applyNumberFormat="1" applyFont="1" applyFill="1" applyBorder="1" applyAlignment="1">
      <alignment horizontal="right"/>
    </xf>
    <xf numFmtId="164" fontId="21" fillId="5" borderId="27" xfId="5" applyNumberFormat="1" applyFont="1" applyFill="1" applyBorder="1" applyAlignment="1">
      <alignment horizontal="right"/>
    </xf>
    <xf numFmtId="9" fontId="11" fillId="0" borderId="0" xfId="1" applyNumberFormat="1" applyFont="1"/>
    <xf numFmtId="165" fontId="11" fillId="0" borderId="0" xfId="1" applyNumberFormat="1" applyFont="1"/>
    <xf numFmtId="166" fontId="11" fillId="0" borderId="0" xfId="1" applyNumberFormat="1" applyFont="1"/>
    <xf numFmtId="166" fontId="4" fillId="0" borderId="0" xfId="1" applyNumberFormat="1"/>
    <xf numFmtId="0" fontId="26" fillId="0" borderId="0" xfId="0" applyFont="1"/>
    <xf numFmtId="0" fontId="27" fillId="0" borderId="0" xfId="1" applyFont="1"/>
    <xf numFmtId="0" fontId="2" fillId="2" borderId="0" xfId="0" applyFont="1" applyFill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2" fillId="4" borderId="10" xfId="3" applyFont="1" applyFill="1" applyBorder="1" applyAlignment="1">
      <alignment horizontal="center" vertical="center" wrapText="1"/>
    </xf>
    <xf numFmtId="0" fontId="22" fillId="7" borderId="31" xfId="3" applyFont="1" applyFill="1" applyBorder="1" applyAlignment="1">
      <alignment horizontal="center" vertical="center" wrapText="1"/>
    </xf>
    <xf numFmtId="0" fontId="22" fillId="6" borderId="31" xfId="3" applyFont="1" applyFill="1" applyBorder="1" applyAlignment="1">
      <alignment horizontal="center" vertical="center" wrapText="1"/>
    </xf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846834A-9A80-4B26-9C4B-849B518453E3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7E93A5"/>
      <color rgb="FFA7CFEA"/>
      <color rgb="FF0C35E2"/>
      <color rgb="FFF73711"/>
      <color rgb="FF5B9BD6"/>
      <color rgb="FFBE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I-II kw. 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'summary_06 2025'!$I$11:$I$12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'summary_06 2025'!$J$11:$J$12</c:f>
              <c:numCache>
                <c:formatCode>0.0%</c:formatCode>
                <c:ptCount val="2"/>
                <c:pt idx="0">
                  <c:v>0.9354141344124326</c:v>
                </c:pt>
                <c:pt idx="1">
                  <c:v>6.4585865587567404E-2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I-II kw.2025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'summary_06 2025'!$M$11:$M$12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'summary_06 2025'!$N$11:$N$12</c:f>
              <c:numCache>
                <c:formatCode>0.0%</c:formatCode>
                <c:ptCount val="2"/>
                <c:pt idx="0">
                  <c:v>0.41601272190624422</c:v>
                </c:pt>
                <c:pt idx="1">
                  <c:v>0.58398727809375583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I-II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1709474169476758"/>
          <c:y val="1.72910008130957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'summary_06 2025'!$I$44:$I$45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'summary_06 2025'!$J$44:$J$45</c:f>
              <c:numCache>
                <c:formatCode>0.0%</c:formatCode>
                <c:ptCount val="2"/>
                <c:pt idx="0">
                  <c:v>0.9065336747417081</c:v>
                </c:pt>
                <c:pt idx="1">
                  <c:v>9.3466325258291905E-2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I-II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285296785549088"/>
          <c:y val="2.1613835784488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3.1431842226298037E-2"/>
                  <c:y val="-0.1298630908398902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86261863668"/>
                      <c:h val="0.161563557772325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'summary_06 2025'!$M$44:$M$47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'summary_06 2025'!$N$44:$N$47</c:f>
              <c:numCache>
                <c:formatCode>0.0%</c:formatCode>
                <c:ptCount val="4"/>
                <c:pt idx="0">
                  <c:v>0.22038845376050473</c:v>
                </c:pt>
                <c:pt idx="1">
                  <c:v>0.46744421496304089</c:v>
                </c:pt>
                <c:pt idx="2">
                  <c:v>0.21778006567018338</c:v>
                </c:pt>
                <c:pt idx="3">
                  <c:v>9.4387265606270962E-2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I-II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'summary_06 2025'!$I$79:$I$80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'summary_06 2025'!$J$79:$J$80</c:f>
              <c:numCache>
                <c:formatCode>0%</c:formatCode>
                <c:ptCount val="2"/>
                <c:pt idx="0">
                  <c:v>0.61011014141010333</c:v>
                </c:pt>
                <c:pt idx="1">
                  <c:v>0.38988985858989667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I-II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'summary_06 2025'!$M$79:$M$82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'summary_06 2025'!$N$79:$N$82</c:f>
              <c:numCache>
                <c:formatCode>0%</c:formatCode>
                <c:ptCount val="4"/>
                <c:pt idx="0">
                  <c:v>0.18822681251236253</c:v>
                </c:pt>
                <c:pt idx="1">
                  <c:v>0.30036013461916444</c:v>
                </c:pt>
                <c:pt idx="2">
                  <c:v>0.51141305286847305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I-II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'summary_06 2025'!$I$114:$I$115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'summary_06 2025'!$J$114:$J$115</c:f>
              <c:numCache>
                <c:formatCode>0.0%</c:formatCode>
                <c:ptCount val="2"/>
                <c:pt idx="0">
                  <c:v>0.85503519630257419</c:v>
                </c:pt>
                <c:pt idx="1">
                  <c:v>0.14496480369742581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I-II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'summary_06 2025'!$M$114:$M$118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'summary_06 2025'!$N$114:$N$118</c:f>
              <c:numCache>
                <c:formatCode>0.0%</c:formatCode>
                <c:ptCount val="5"/>
                <c:pt idx="0">
                  <c:v>0.56771791724049214</c:v>
                </c:pt>
                <c:pt idx="1">
                  <c:v>0.16739085003209669</c:v>
                </c:pt>
                <c:pt idx="2">
                  <c:v>0.22610711100821065</c:v>
                </c:pt>
                <c:pt idx="3">
                  <c:v>1.0547268783022147E-2</c:v>
                </c:pt>
                <c:pt idx="4">
                  <c:v>2.8236852936178509E-2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1920-4CB2-8011-D3E38B68E84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1920-4CB2-8011-D3E38B68E84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1920-4CB2-8011-D3E38B68E843}"/>
              </c:ext>
            </c:extLst>
          </c:dPt>
          <c:dLbls>
            <c:dLbl>
              <c:idx val="0"/>
              <c:layout>
                <c:manualLayout>
                  <c:x val="0.17746226042919805"/>
                  <c:y val="4.68928704067525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2271816182497692"/>
                  <c:y val="-7.07219485845865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1649764161666496"/>
                  <c:y val="-9.822492858970352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920-4CB2-8011-D3E38B68E843}"/>
                </c:ext>
              </c:extLst>
            </c:dLbl>
            <c:dLbl>
              <c:idx val="3"/>
              <c:layout>
                <c:manualLayout>
                  <c:x val="9.6990388246220513E-2"/>
                  <c:y val="-0.2158821290470870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7399295610334"/>
                      <c:h val="0.1289553936185695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1920-4CB2-8011-D3E38B68E843}"/>
                </c:ext>
              </c:extLst>
            </c:dLbl>
            <c:dLbl>
              <c:idx val="4"/>
              <c:layout>
                <c:manualLayout>
                  <c:x val="0.29703074864311724"/>
                  <c:y val="-5.526097082395758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920-4CB2-8011-D3E38B68E84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rynku_06 2025'!$B$36,'szacunek rynku_06 2025'!$B$45:$B$51)</c15:sqref>
                  </c15:fullRef>
                </c:ext>
              </c:extLst>
              <c:f>('szacunek rynku_06 2025'!$B$36,'szacunek rynku_06 2025'!$B$45,'szacunek rynku_06 2025'!$B$49:$B$51)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rynku_06 2025'!$R$36,'szacunek rynku_06 2025'!$R$45:$R$51)</c15:sqref>
                  </c15:fullRef>
                </c:ext>
              </c:extLst>
              <c:f>('szacunek rynku_06 2025'!$R$36,'szacunek rynku_06 2025'!$R$45,'szacunek rynku_06 2025'!$R$49:$R$51)</c:f>
              <c:numCache>
                <c:formatCode>#,##0</c:formatCode>
                <c:ptCount val="5"/>
                <c:pt idx="0">
                  <c:v>37280.33640552991</c:v>
                </c:pt>
                <c:pt idx="1">
                  <c:v>8582.8598466588883</c:v>
                </c:pt>
                <c:pt idx="2">
                  <c:v>381.9661144373016</c:v>
                </c:pt>
                <c:pt idx="3">
                  <c:v>615.9603861222655</c:v>
                </c:pt>
                <c:pt idx="4">
                  <c:v>227.25268160461326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rynku_06 2025'!$R$46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AA43-44CD-9A1D-2E48A917BD16}"/>
                      </c:ext>
                    </c:extLst>
                  </c15:dLbl>
                </c15:categoryFilterException>
                <c15:categoryFilterException>
                  <c15:sqref>'szacunek rynku_06 2025'!$R$47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AA43-44CD-9A1D-2E48A917BD16}"/>
                      </c:ext>
                    </c:extLst>
                  </c15:dLbl>
                </c15:categoryFilterException>
                <c15:categoryFilterException>
                  <c15:sqref>'szacunek rynku_06 2025'!$R$48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AA43-44CD-9A1D-2E48A917BD1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E2A-4B6D-9F3A-F6DA1226AB5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9E2A-4B6D-9F3A-F6DA1226AB5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9E2A-4B6D-9F3A-F6DA1226AB5D}"/>
              </c:ext>
            </c:extLst>
          </c:dPt>
          <c:dLbls>
            <c:dLbl>
              <c:idx val="0"/>
              <c:layout>
                <c:manualLayout>
                  <c:x val="0.18159454176463227"/>
                  <c:y val="-5.476208369420457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445020367641206"/>
                  <c:y val="4.30273514740178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148577352352881"/>
                  <c:y val="-7.04083933211201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E2A-4B6D-9F3A-F6DA1226AB5D}"/>
                </c:ext>
              </c:extLst>
            </c:dLbl>
            <c:dLbl>
              <c:idx val="3"/>
              <c:layout>
                <c:manualLayout>
                  <c:x val="-4.2782608130486678E-4"/>
                  <c:y val="-0.2073136025566316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9349502873567883"/>
                      <c:h val="0.121258899608595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9E2A-4B6D-9F3A-F6DA1226AB5D}"/>
                </c:ext>
              </c:extLst>
            </c:dLbl>
            <c:dLbl>
              <c:idx val="4"/>
              <c:layout>
                <c:manualLayout>
                  <c:x val="0.14857735235288089"/>
                  <c:y val="-9.77894351682224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9E2A-4B6D-9F3A-F6DA1226AB5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rynku_06 2025'!$B$63,'szacunek rynku_06 2025'!$B$72:$B$78)</c15:sqref>
                  </c15:fullRef>
                </c:ext>
              </c:extLst>
              <c:f>('szacunek rynku_06 2025'!$B$63,'szacunek rynku_06 2025'!$B$72,'szacunek rynku_06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rynku_06 2025'!$R$63,'szacunek rynku_06 2025'!$R$72:$R$78)</c15:sqref>
                  </c15:fullRef>
                </c:ext>
              </c:extLst>
              <c:f>('szacunek rynku_06 2025'!$R$63,'szacunek rynku_06 2025'!$R$72,'szacunek rynku_06 2025'!$R$76:$R$78)</c:f>
              <c:numCache>
                <c:formatCode>#,##0</c:formatCode>
                <c:ptCount val="5"/>
                <c:pt idx="0">
                  <c:v>2157.2020253539622</c:v>
                </c:pt>
                <c:pt idx="1">
                  <c:v>3997.7734383062443</c:v>
                </c:pt>
                <c:pt idx="2">
                  <c:v>67.350893499820117</c:v>
                </c:pt>
                <c:pt idx="3">
                  <c:v>73.629785267795825</c:v>
                </c:pt>
                <c:pt idx="4">
                  <c:v>17.816675796462736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rynku_06 2025'!$R$73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24B8-4205-8C26-CA84CC9C7B1E}"/>
                      </c:ext>
                    </c:extLst>
                  </c15:dLbl>
                </c15:categoryFilterException>
                <c15:categoryFilterException>
                  <c15:sqref>'szacunek rynku_06 2025'!$R$74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24B8-4205-8C26-CA84CC9C7B1E}"/>
                      </c:ext>
                    </c:extLst>
                  </c15:dLbl>
                </c15:categoryFilterException>
                <c15:categoryFilterException>
                  <c15:sqref>'szacunek rynku_06 2025'!$R$75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24B8-4205-8C26-CA84CC9C7B1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AB9-4331-A611-8D5DD68039AC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AB9-4331-A611-8D5DD68039A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AB9-4331-A611-8D5DD68039AC}"/>
              </c:ext>
            </c:extLst>
          </c:dPt>
          <c:dLbls>
            <c:dLbl>
              <c:idx val="0"/>
              <c:layout>
                <c:manualLayout>
                  <c:x val="0.16098438064729176"/>
                  <c:y val="3.12621733241351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1051803623107385"/>
                  <c:y val="7.8155433310338352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5685657601530997"/>
                  <c:y val="-6.6432118313787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AB9-4331-A611-8D5DD68039AC}"/>
                </c:ext>
              </c:extLst>
            </c:dLbl>
            <c:dLbl>
              <c:idx val="3"/>
              <c:layout>
                <c:manualLayout>
                  <c:x val="-1.8575120843918245E-2"/>
                  <c:y val="-0.2071118982723956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7380612189179558"/>
                      <c:h val="0.12114092163102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EAB9-4331-A611-8D5DD68039AC}"/>
                </c:ext>
              </c:extLst>
            </c:dLbl>
            <c:dLbl>
              <c:idx val="4"/>
              <c:layout>
                <c:manualLayout>
                  <c:x val="0.16923998991125544"/>
                  <c:y val="-4.29854883206859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AB9-4331-A611-8D5DD68039A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rynku_06 2025'!$B$8,'szacunek rynku_06 2025'!$B$17:$B$23)</c15:sqref>
                  </c15:fullRef>
                </c:ext>
              </c:extLst>
              <c:f>('szacunek rynku_06 2025'!$B$8,'szacunek rynku_06 2025'!$B$17,'szacunek rynku_06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rynku_06 2025'!$R$8,'szacunek rynku_06 2025'!$R$17:$R$23)</c15:sqref>
                  </c15:fullRef>
                </c:ext>
              </c:extLst>
              <c:f>('szacunek rynku_06 2025'!$R$8,'szacunek rynku_06 2025'!$R$17,'szacunek rynku_06 2025'!$R$21:$R$23)</c:f>
              <c:numCache>
                <c:formatCode>#,##0</c:formatCode>
                <c:ptCount val="5"/>
                <c:pt idx="0">
                  <c:v>39437.538430883869</c:v>
                </c:pt>
                <c:pt idx="1">
                  <c:v>12580.633284965133</c:v>
                </c:pt>
                <c:pt idx="2">
                  <c:v>449.31700793712173</c:v>
                </c:pt>
                <c:pt idx="3">
                  <c:v>689.5901713900613</c:v>
                </c:pt>
                <c:pt idx="4">
                  <c:v>245.06935740107599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rynku_06 2025'!$R$18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779E-4875-98CB-D81C0B633793}"/>
                      </c:ext>
                    </c:extLst>
                  </c15:dLbl>
                </c15:categoryFilterException>
                <c15:categoryFilterException>
                  <c15:sqref>'szacunek rynku_06 2025'!$R$19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779E-4875-98CB-D81C0B633793}"/>
                      </c:ext>
                    </c:extLst>
                  </c15:dLbl>
                </c15:categoryFilterException>
                <c15:categoryFilterException>
                  <c15:sqref>'szacunek rynku_06 2025'!$R$20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779E-4875-98CB-D81C0B633793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CC9C-4761-9B57-01FF06DECFB1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CC9C-4761-9B57-01FF06DECFB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CC9C-4761-9B57-01FF06DECFB1}"/>
              </c:ext>
            </c:extLst>
          </c:dPt>
          <c:dLbls>
            <c:dLbl>
              <c:idx val="0"/>
              <c:layout>
                <c:manualLayout>
                  <c:x val="0.15713098231608985"/>
                  <c:y val="3.907772867932969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3569647347413475"/>
                  <c:y val="-3.9077728679329697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9021118911947721"/>
                  <c:y val="-7.815545735865939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C9C-4761-9B57-01FF06DECFB1}"/>
                </c:ext>
              </c:extLst>
            </c:dLbl>
            <c:dLbl>
              <c:idx val="3"/>
              <c:layout>
                <c:manualLayout>
                  <c:x val="-2.8945180952963955E-2"/>
                  <c:y val="-0.1973425298306149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451450401016107"/>
                      <c:h val="0.13286427750972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CC9C-4761-9B57-01FF06DECFB1}"/>
                </c:ext>
              </c:extLst>
            </c:dLbl>
            <c:dLbl>
              <c:idx val="4"/>
              <c:layout>
                <c:manualLayout>
                  <c:x val="0.20261626667074736"/>
                  <c:y val="-5.86165930189945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C9C-4761-9B57-01FF06DECFB1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rynku_06 2025'!$B$36,'szacunek rynku_06 2025'!$B$45:$B$51)</c15:sqref>
                  </c15:fullRef>
                </c:ext>
              </c:extLst>
              <c:f>('szacunek rynku_06 2025'!$B$36,'szacunek rynku_06 2025'!$B$45,'szacunek rynku_06 2025'!$B$49:$B$51)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rynku_06 2025'!$S$36,'szacunek rynku_06 2025'!$S$45:$S$51)</c15:sqref>
                  </c15:fullRef>
                </c:ext>
              </c:extLst>
              <c:f>('szacunek rynku_06 2025'!$S$36,'szacunek rynku_06 2025'!$S$45,'szacunek rynku_06 2025'!$S$49:$S$51)</c:f>
              <c:numCache>
                <c:formatCode>#,##0</c:formatCode>
                <c:ptCount val="5"/>
                <c:pt idx="0">
                  <c:v>38944.291347350081</c:v>
                </c:pt>
                <c:pt idx="1">
                  <c:v>7775.2646185349886</c:v>
                </c:pt>
                <c:pt idx="2">
                  <c:v>485.9086608569591</c:v>
                </c:pt>
                <c:pt idx="3">
                  <c:v>779.52184511278676</c:v>
                </c:pt>
                <c:pt idx="4">
                  <c:v>207.20832621460761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rynku_06 2025'!$S$46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33A5-49D5-92A3-BAE5E1ACF624}"/>
                      </c:ext>
                    </c:extLst>
                  </c15:dLbl>
                </c15:categoryFilterException>
                <c15:categoryFilterException>
                  <c15:sqref>'szacunek rynku_06 2025'!$S$47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33A5-49D5-92A3-BAE5E1ACF624}"/>
                      </c:ext>
                    </c:extLst>
                  </c15:dLbl>
                </c15:categoryFilterException>
                <c15:categoryFilterException>
                  <c15:sqref>'szacunek rynku_06 2025'!$S$48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33A5-49D5-92A3-BAE5E1ACF624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6BA-4457-B307-3AB5D253019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6BA-4457-B307-3AB5D25301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6BA-4457-B307-3AB5D253019E}"/>
              </c:ext>
            </c:extLst>
          </c:dPt>
          <c:dLbls>
            <c:dLbl>
              <c:idx val="0"/>
              <c:layout>
                <c:manualLayout>
                  <c:x val="0.13611235066127023"/>
                  <c:y val="0.1566162504158191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3198773397456509"/>
                  <c:y val="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0210621764855283"/>
                  <c:y val="-9.005434398909609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6BA-4457-B307-3AB5D253019E}"/>
                </c:ext>
              </c:extLst>
            </c:dLbl>
            <c:dLbl>
              <c:idx val="3"/>
              <c:layout>
                <c:manualLayout>
                  <c:x val="2.2685554163362102E-2"/>
                  <c:y val="-0.2133896411915537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1561833200501184"/>
                      <c:h val="0.140954625374237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E6BA-4457-B307-3AB5D253019E}"/>
                </c:ext>
              </c:extLst>
            </c:dLbl>
            <c:dLbl>
              <c:idx val="4"/>
              <c:layout>
                <c:manualLayout>
                  <c:x val="0.22272930108207858"/>
                  <c:y val="-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6BA-4457-B307-3AB5D253019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rynku_06 2025'!$B$63,'szacunek rynku_06 2025'!$B$72:$B$78)</c15:sqref>
                  </c15:fullRef>
                </c:ext>
              </c:extLst>
              <c:f>('szacunek rynku_06 2025'!$B$63,'szacunek rynku_06 2025'!$B$72,'szacunek rynku_06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rynku_06 2025'!$S$63,'szacunek rynku_06 2025'!$S$72:$S$78)</c15:sqref>
                  </c15:fullRef>
                </c:ext>
              </c:extLst>
              <c:f>('szacunek rynku_06 2025'!$S$63,'szacunek rynku_06 2025'!$S$72,'szacunek rynku_06 2025'!$S$76:$S$78)</c:f>
              <c:numCache>
                <c:formatCode>#,##0</c:formatCode>
                <c:ptCount val="5"/>
                <c:pt idx="0">
                  <c:v>2972.997464081493</c:v>
                </c:pt>
                <c:pt idx="1">
                  <c:v>4968.769762805704</c:v>
                </c:pt>
                <c:pt idx="2">
                  <c:v>108.5651502528323</c:v>
                </c:pt>
                <c:pt idx="3">
                  <c:v>90.242464998299653</c:v>
                </c:pt>
                <c:pt idx="4">
                  <c:v>30.050284009129257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rynku_06 2025'!$S$73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2462-42A6-B850-5E748236B315}"/>
                      </c:ext>
                    </c:extLst>
                  </c15:dLbl>
                </c15:categoryFilterException>
                <c15:categoryFilterException>
                  <c15:sqref>'szacunek rynku_06 2025'!$S$74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2462-42A6-B850-5E748236B315}"/>
                      </c:ext>
                    </c:extLst>
                  </c15:dLbl>
                </c15:categoryFilterException>
                <c15:categoryFilterException>
                  <c15:sqref>'szacunek rynku_06 2025'!$S$75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2462-42A6-B850-5E748236B31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1FFF-4F8A-A7A0-C3F8E5A2D84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1FFF-4F8A-A7A0-C3F8E5A2D84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1FFF-4F8A-A7A0-C3F8E5A2D84E}"/>
              </c:ext>
            </c:extLst>
          </c:dPt>
          <c:dLbls>
            <c:dLbl>
              <c:idx val="0"/>
              <c:layout>
                <c:manualLayout>
                  <c:x val="0.23558410147397088"/>
                  <c:y val="0.1056130128537412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22731799265032276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7772133970843421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FFF-4F8A-A7A0-C3F8E5A2D84E}"/>
                </c:ext>
              </c:extLst>
            </c:dLbl>
            <c:dLbl>
              <c:idx val="3"/>
              <c:layout>
                <c:manualLayout>
                  <c:x val="3.7197489706416453E-2"/>
                  <c:y val="-0.1975354499671826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907229525759669"/>
                      <c:h val="0.1251709781970266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1FFF-4F8A-A7A0-C3F8E5A2D84E}"/>
                </c:ext>
              </c:extLst>
            </c:dLbl>
            <c:dLbl>
              <c:idx val="4"/>
              <c:layout>
                <c:manualLayout>
                  <c:x val="0.16532217647296202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FFF-4F8A-A7A0-C3F8E5A2D84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rynku_06 2025'!$B$8,'szacunek rynku_06 2025'!$B$17:$B$23)</c15:sqref>
                  </c15:fullRef>
                </c:ext>
              </c:extLst>
              <c:f>('szacunek rynku_06 2025'!$B$8,'szacunek rynku_06 2025'!$B$17,'szacunek rynku_06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rynku_06 2025'!$S$8,'szacunek rynku_06 2025'!$S$17:$S$23)</c15:sqref>
                  </c15:fullRef>
                </c:ext>
              </c:extLst>
              <c:f>('szacunek rynku_06 2025'!$S$8,'szacunek rynku_06 2025'!$S$17,'szacunek rynku_06 2025'!$S$21:$S$23)</c:f>
              <c:numCache>
                <c:formatCode>#,##0</c:formatCode>
                <c:ptCount val="5"/>
                <c:pt idx="0">
                  <c:v>41917.288811431572</c:v>
                </c:pt>
                <c:pt idx="1">
                  <c:v>12744.034381340693</c:v>
                </c:pt>
                <c:pt idx="2">
                  <c:v>594.47381110979143</c:v>
                </c:pt>
                <c:pt idx="3">
                  <c:v>869.76431011108639</c:v>
                </c:pt>
                <c:pt idx="4">
                  <c:v>237.25861022373687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rynku_06 2025'!$S$18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6EF4-486F-BD1E-42DE8F744746}"/>
                      </c:ext>
                    </c:extLst>
                  </c15:dLbl>
                </c15:categoryFilterException>
                <c15:categoryFilterException>
                  <c15:sqref>'szacunek rynku_06 2025'!$S$19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6EF4-486F-BD1E-42DE8F744746}"/>
                      </c:ext>
                    </c:extLst>
                  </c15:dLbl>
                </c15:categoryFilterException>
                <c15:categoryFilterException>
                  <c15:sqref>'szacunek rynku_06 2025'!$S$20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6EF4-486F-BD1E-42DE8F74474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8.6%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77.5%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12.3%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8.7%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47.2%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6.8%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06/2025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1953" y="1657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6781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 i="0" u="none" strike="noStrike">
              <a:solidFill>
                <a:schemeClr val="bg1"/>
              </a:solidFill>
              <a:latin typeface="Arial"/>
              <a:cs typeface="Arial"/>
            </a:rPr>
            <a:t>32,0</a:t>
          </a:r>
          <a: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b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</a:br>
          <a: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w I-II kw. 2025</a:t>
          </a:r>
          <a:endParaRPr lang="en-US" sz="14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936978</xdr:colOff>
      <xdr:row>6</xdr:row>
      <xdr:rowOff>130184</xdr:rowOff>
    </xdr:from>
    <xdr:to>
      <xdr:col>11</xdr:col>
      <xdr:colOff>5574</xdr:colOff>
      <xdr:row>22</xdr:row>
      <xdr:rowOff>138721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124177</xdr:colOff>
      <xdr:row>6</xdr:row>
      <xdr:rowOff>133359</xdr:rowOff>
    </xdr:from>
    <xdr:to>
      <xdr:col>14</xdr:col>
      <xdr:colOff>596899</xdr:colOff>
      <xdr:row>22</xdr:row>
      <xdr:rowOff>136181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45</xdr:row>
      <xdr:rowOff>146047</xdr:rowOff>
    </xdr:from>
    <xdr:to>
      <xdr:col>4</xdr:col>
      <xdr:colOff>904654</xdr:colOff>
      <xdr:row>47</xdr:row>
      <xdr:rowOff>104922</xdr:rowOff>
    </xdr:to>
    <xdr:sp macro="" textlink="'szacunek rynku_06 2025'!P39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2.8%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49</xdr:row>
      <xdr:rowOff>87536</xdr:rowOff>
    </xdr:from>
    <xdr:to>
      <xdr:col>4</xdr:col>
      <xdr:colOff>904654</xdr:colOff>
      <xdr:row>51</xdr:row>
      <xdr:rowOff>46411</xdr:rowOff>
    </xdr:to>
    <xdr:sp macro="" textlink="'szacunek rynku_06 2025'!P66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17.4%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53</xdr:row>
      <xdr:rowOff>146601</xdr:rowOff>
    </xdr:from>
    <xdr:to>
      <xdr:col>4</xdr:col>
      <xdr:colOff>904654</xdr:colOff>
      <xdr:row>55</xdr:row>
      <xdr:rowOff>105476</xdr:rowOff>
    </xdr:to>
    <xdr:sp macro="" textlink="'szacunek rynku_06 2025'!P11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4.1%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53</xdr:row>
      <xdr:rowOff>146601</xdr:rowOff>
    </xdr:from>
    <xdr:to>
      <xdr:col>6</xdr:col>
      <xdr:colOff>589718</xdr:colOff>
      <xdr:row>55</xdr:row>
      <xdr:rowOff>105476</xdr:rowOff>
    </xdr:to>
    <xdr:sp macro="" textlink="'szacunek rynku_06 2025'!U11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-0.5%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49</xdr:row>
      <xdr:rowOff>87536</xdr:rowOff>
    </xdr:from>
    <xdr:to>
      <xdr:col>6</xdr:col>
      <xdr:colOff>589718</xdr:colOff>
      <xdr:row>51</xdr:row>
      <xdr:rowOff>46411</xdr:rowOff>
    </xdr:to>
    <xdr:sp macro="" textlink="'szacunek rynku_06 2025'!U66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19.8%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45</xdr:row>
      <xdr:rowOff>146047</xdr:rowOff>
    </xdr:from>
    <xdr:to>
      <xdr:col>6</xdr:col>
      <xdr:colOff>589718</xdr:colOff>
      <xdr:row>47</xdr:row>
      <xdr:rowOff>104922</xdr:rowOff>
    </xdr:to>
    <xdr:sp macro="" textlink="'szacunek rynku_06 2025'!U39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-2.2%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45</xdr:row>
      <xdr:rowOff>146046</xdr:rowOff>
    </xdr:from>
    <xdr:to>
      <xdr:col>3</xdr:col>
      <xdr:colOff>1176096</xdr:colOff>
      <xdr:row>47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49</xdr:row>
      <xdr:rowOff>87535</xdr:rowOff>
    </xdr:from>
    <xdr:to>
      <xdr:col>3</xdr:col>
      <xdr:colOff>1176096</xdr:colOff>
      <xdr:row>51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53</xdr:row>
      <xdr:rowOff>146600</xdr:rowOff>
    </xdr:from>
    <xdr:to>
      <xdr:col>3</xdr:col>
      <xdr:colOff>1176096</xdr:colOff>
      <xdr:row>55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43</xdr:row>
      <xdr:rowOff>1046</xdr:rowOff>
    </xdr:from>
    <xdr:to>
      <xdr:col>4</xdr:col>
      <xdr:colOff>904654</xdr:colOff>
      <xdr:row>44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06/2025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43</xdr:row>
      <xdr:rowOff>1046</xdr:rowOff>
    </xdr:from>
    <xdr:to>
      <xdr:col>6</xdr:col>
      <xdr:colOff>589718</xdr:colOff>
      <xdr:row>44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52</xdr:row>
      <xdr:rowOff>96505</xdr:rowOff>
    </xdr:from>
    <xdr:to>
      <xdr:col>6</xdr:col>
      <xdr:colOff>732905</xdr:colOff>
      <xdr:row>52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41</xdr:row>
      <xdr:rowOff>107156</xdr:rowOff>
    </xdr:from>
    <xdr:to>
      <xdr:col>17</xdr:col>
      <xdr:colOff>333375</xdr:colOff>
      <xdr:row>51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39</xdr:row>
      <xdr:rowOff>127009</xdr:rowOff>
    </xdr:from>
    <xdr:to>
      <xdr:col>6</xdr:col>
      <xdr:colOff>627940</xdr:colOff>
      <xdr:row>42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1953" y="8388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56</xdr:row>
      <xdr:rowOff>88900</xdr:rowOff>
    </xdr:from>
    <xdr:to>
      <xdr:col>14</xdr:col>
      <xdr:colOff>564443</xdr:colOff>
      <xdr:row>67</xdr:row>
      <xdr:rowOff>57150</xdr:rowOff>
    </xdr:to>
    <xdr:sp macro="" textlink="">
      <xdr:nvSpPr>
        <xdr:cNvPr id="37" name="Prostokąt: zaokrąglone rogi 36">
          <a:extLst>
            <a:ext uri="{FF2B5EF4-FFF2-40B4-BE49-F238E27FC236}">
              <a16:creationId xmlns:a16="http://schemas.microsoft.com/office/drawing/2014/main" id="{FB453BFA-F7DB-44AE-9394-57E742BC7E17}"/>
            </a:ext>
          </a:extLst>
        </xdr:cNvPr>
        <xdr:cNvSpPr/>
      </xdr:nvSpPr>
      <xdr:spPr>
        <a:xfrm>
          <a:off x="842433" y="11480800"/>
          <a:ext cx="10910710" cy="200660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 czerwcu 2025 czwarty miesiąc z rzędu na plusie (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 3,2% r/r w marcu, 2,0% r/r w kwietniu 2025 oraz 0,1% r/r w maju 2025). To pierwsze wzrosty w ujęciu rocznym segmentu TRK od II kw. 2023. Wzrosty są umiarkowane, ale to jednak wyraźna poprawa wobec -13,7% r/r za 2024 oraz jeszcze -7,1% r/r za 01-02/2025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pPr algn="l"/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czerwcu 2025 poraz pierwszy w tym roku na plusie i to wyraźnym plusie. Za to w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zrost w naczepach znacznie niższy od majowego (12,9% r/r). Oceniamy, że najgorsze w sektorze finansowania TRK już za nami, ale wciąż problemy w przemyśle strefy euro i trudna sytuacja finansowa firm transportowych, przekładają się na niski popyt inwestycyjny w transporcie drogowym międzynarodowym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Słabszy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czerwcowy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wynik w typowych ciężarówkach (bardziej związanych z popytem krajowym) i bardzo dobry w finansowaniu autobusów.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39</xdr:row>
      <xdr:rowOff>147810</xdr:rowOff>
    </xdr:from>
    <xdr:to>
      <xdr:col>3</xdr:col>
      <xdr:colOff>1177929</xdr:colOff>
      <xdr:row>44</xdr:row>
      <xdr:rowOff>143016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918430"/>
          <a:ext cx="1790403" cy="947706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 i="0" u="none" strike="noStrike">
              <a:solidFill>
                <a:schemeClr val="bg1"/>
              </a:solidFill>
              <a:latin typeface="Arial"/>
              <a:cs typeface="Arial"/>
            </a:rPr>
            <a:t>9,4</a:t>
          </a:r>
          <a: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b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</a:br>
          <a: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w I-II kw. 2025</a:t>
          </a:r>
          <a:endParaRPr lang="en-US" sz="14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858238</xdr:colOff>
      <xdr:row>39</xdr:row>
      <xdr:rowOff>71764</xdr:rowOff>
    </xdr:from>
    <xdr:to>
      <xdr:col>10</xdr:col>
      <xdr:colOff>657084</xdr:colOff>
      <xdr:row>55</xdr:row>
      <xdr:rowOff>80301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39</xdr:row>
      <xdr:rowOff>127009</xdr:rowOff>
    </xdr:from>
    <xdr:to>
      <xdr:col>14</xdr:col>
      <xdr:colOff>603249</xdr:colOff>
      <xdr:row>55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80</xdr:row>
      <xdr:rowOff>146047</xdr:rowOff>
    </xdr:from>
    <xdr:to>
      <xdr:col>4</xdr:col>
      <xdr:colOff>904654</xdr:colOff>
      <xdr:row>82</xdr:row>
      <xdr:rowOff>104922</xdr:rowOff>
    </xdr:to>
    <xdr:sp macro="" textlink="'szacunek rynku_06 2025'!P45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-14.3%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84</xdr:row>
      <xdr:rowOff>87536</xdr:rowOff>
    </xdr:from>
    <xdr:to>
      <xdr:col>4</xdr:col>
      <xdr:colOff>904654</xdr:colOff>
      <xdr:row>86</xdr:row>
      <xdr:rowOff>46411</xdr:rowOff>
    </xdr:to>
    <xdr:sp macro="" textlink="'szacunek rynku_06 2025'!P72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44.2%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88</xdr:row>
      <xdr:rowOff>146601</xdr:rowOff>
    </xdr:from>
    <xdr:to>
      <xdr:col>4</xdr:col>
      <xdr:colOff>904654</xdr:colOff>
      <xdr:row>90</xdr:row>
      <xdr:rowOff>105476</xdr:rowOff>
    </xdr:to>
    <xdr:sp macro="" textlink="'szacunek rynku_06 2025'!P17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4.7%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88</xdr:row>
      <xdr:rowOff>129283</xdr:rowOff>
    </xdr:from>
    <xdr:to>
      <xdr:col>6</xdr:col>
      <xdr:colOff>578172</xdr:colOff>
      <xdr:row>90</xdr:row>
      <xdr:rowOff>88158</xdr:rowOff>
    </xdr:to>
    <xdr:sp macro="" textlink="'szacunek rynku_06 2025'!U17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1.3%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84</xdr:row>
      <xdr:rowOff>87536</xdr:rowOff>
    </xdr:from>
    <xdr:to>
      <xdr:col>6</xdr:col>
      <xdr:colOff>589718</xdr:colOff>
      <xdr:row>86</xdr:row>
      <xdr:rowOff>46411</xdr:rowOff>
    </xdr:to>
    <xdr:sp macro="" textlink="'szacunek rynku_06 2025'!U72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24.3%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80</xdr:row>
      <xdr:rowOff>146047</xdr:rowOff>
    </xdr:from>
    <xdr:to>
      <xdr:col>6</xdr:col>
      <xdr:colOff>589718</xdr:colOff>
      <xdr:row>82</xdr:row>
      <xdr:rowOff>104922</xdr:rowOff>
    </xdr:to>
    <xdr:sp macro="" textlink="'szacunek rynku_06 2025'!U45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-9.4%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80</xdr:row>
      <xdr:rowOff>146046</xdr:rowOff>
    </xdr:from>
    <xdr:to>
      <xdr:col>3</xdr:col>
      <xdr:colOff>1176096</xdr:colOff>
      <xdr:row>82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84</xdr:row>
      <xdr:rowOff>87535</xdr:rowOff>
    </xdr:from>
    <xdr:to>
      <xdr:col>3</xdr:col>
      <xdr:colOff>1176096</xdr:colOff>
      <xdr:row>86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88</xdr:row>
      <xdr:rowOff>146600</xdr:rowOff>
    </xdr:from>
    <xdr:to>
      <xdr:col>3</xdr:col>
      <xdr:colOff>1176096</xdr:colOff>
      <xdr:row>90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78</xdr:row>
      <xdr:rowOff>1046</xdr:rowOff>
    </xdr:from>
    <xdr:to>
      <xdr:col>4</xdr:col>
      <xdr:colOff>904654</xdr:colOff>
      <xdr:row>79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 06/2025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78</xdr:row>
      <xdr:rowOff>1046</xdr:rowOff>
    </xdr:from>
    <xdr:to>
      <xdr:col>6</xdr:col>
      <xdr:colOff>589718</xdr:colOff>
      <xdr:row>79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87</xdr:row>
      <xdr:rowOff>96505</xdr:rowOff>
    </xdr:from>
    <xdr:to>
      <xdr:col>6</xdr:col>
      <xdr:colOff>732905</xdr:colOff>
      <xdr:row>87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76</xdr:row>
      <xdr:rowOff>107156</xdr:rowOff>
    </xdr:from>
    <xdr:to>
      <xdr:col>17</xdr:col>
      <xdr:colOff>333375</xdr:colOff>
      <xdr:row>86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74</xdr:row>
      <xdr:rowOff>127009</xdr:rowOff>
    </xdr:from>
    <xdr:to>
      <xdr:col>6</xdr:col>
      <xdr:colOff>627940</xdr:colOff>
      <xdr:row>77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1953" y="15119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74</xdr:row>
      <xdr:rowOff>147810</xdr:rowOff>
    </xdr:from>
    <xdr:to>
      <xdr:col>3</xdr:col>
      <xdr:colOff>1176024</xdr:colOff>
      <xdr:row>79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12,7 MLD ZŁ </a:t>
          </a:r>
          <a:b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</a:br>
          <a: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w I-II kw. 2025</a:t>
          </a:r>
          <a:endParaRPr lang="en-US" sz="14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841728</xdr:colOff>
      <xdr:row>74</xdr:row>
      <xdr:rowOff>146059</xdr:rowOff>
    </xdr:from>
    <xdr:to>
      <xdr:col>10</xdr:col>
      <xdr:colOff>665339</xdr:colOff>
      <xdr:row>90</xdr:row>
      <xdr:rowOff>148881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79727</xdr:colOff>
      <xdr:row>74</xdr:row>
      <xdr:rowOff>146059</xdr:rowOff>
    </xdr:from>
    <xdr:to>
      <xdr:col>14</xdr:col>
      <xdr:colOff>552449</xdr:colOff>
      <xdr:row>90</xdr:row>
      <xdr:rowOff>148881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538365</xdr:colOff>
      <xdr:row>4</xdr:row>
      <xdr:rowOff>752263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37</xdr:row>
      <xdr:rowOff>16935</xdr:rowOff>
    </xdr:from>
    <xdr:to>
      <xdr:col>3</xdr:col>
      <xdr:colOff>486887</xdr:colOff>
      <xdr:row>37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72</xdr:row>
      <xdr:rowOff>80433</xdr:rowOff>
    </xdr:from>
    <xdr:to>
      <xdr:col>3</xdr:col>
      <xdr:colOff>309880</xdr:colOff>
      <xdr:row>72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115</xdr:row>
      <xdr:rowOff>146047</xdr:rowOff>
    </xdr:from>
    <xdr:to>
      <xdr:col>4</xdr:col>
      <xdr:colOff>904654</xdr:colOff>
      <xdr:row>117</xdr:row>
      <xdr:rowOff>104922</xdr:rowOff>
    </xdr:to>
    <xdr:sp macro="" textlink="'szacunek rynku_06 2025'!P53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3.4%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119</xdr:row>
      <xdr:rowOff>87536</xdr:rowOff>
    </xdr:from>
    <xdr:to>
      <xdr:col>4</xdr:col>
      <xdr:colOff>904654</xdr:colOff>
      <xdr:row>121</xdr:row>
      <xdr:rowOff>46411</xdr:rowOff>
    </xdr:to>
    <xdr:sp macro="" textlink="'szacunek rynku_06 2025'!P80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49.7%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123</xdr:row>
      <xdr:rowOff>146601</xdr:rowOff>
    </xdr:from>
    <xdr:to>
      <xdr:col>4</xdr:col>
      <xdr:colOff>904654</xdr:colOff>
      <xdr:row>125</xdr:row>
      <xdr:rowOff>105476</xdr:rowOff>
    </xdr:to>
    <xdr:sp macro="" textlink="'szacunek rynku_06 2025'!P25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9.2%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123</xdr:row>
      <xdr:rowOff>146601</xdr:rowOff>
    </xdr:from>
    <xdr:to>
      <xdr:col>6</xdr:col>
      <xdr:colOff>589718</xdr:colOff>
      <xdr:row>125</xdr:row>
      <xdr:rowOff>105476</xdr:rowOff>
    </xdr:to>
    <xdr:sp macro="" textlink="'szacunek rynku_06 2025'!U25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5.5%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119</xdr:row>
      <xdr:rowOff>87536</xdr:rowOff>
    </xdr:from>
    <xdr:to>
      <xdr:col>6</xdr:col>
      <xdr:colOff>589718</xdr:colOff>
      <xdr:row>121</xdr:row>
      <xdr:rowOff>46411</xdr:rowOff>
    </xdr:to>
    <xdr:sp macro="" textlink="'szacunek rynku_06 2025'!U80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29.4%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115</xdr:row>
      <xdr:rowOff>146047</xdr:rowOff>
    </xdr:from>
    <xdr:to>
      <xdr:col>6</xdr:col>
      <xdr:colOff>589718</xdr:colOff>
      <xdr:row>117</xdr:row>
      <xdr:rowOff>104922</xdr:rowOff>
    </xdr:to>
    <xdr:sp macro="" textlink="'szacunek rynku_06 2025'!U53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2.3%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115</xdr:row>
      <xdr:rowOff>146046</xdr:rowOff>
    </xdr:from>
    <xdr:to>
      <xdr:col>3</xdr:col>
      <xdr:colOff>1176096</xdr:colOff>
      <xdr:row>117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119</xdr:row>
      <xdr:rowOff>87535</xdr:rowOff>
    </xdr:from>
    <xdr:to>
      <xdr:col>3</xdr:col>
      <xdr:colOff>1176096</xdr:colOff>
      <xdr:row>121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123</xdr:row>
      <xdr:rowOff>10526</xdr:rowOff>
    </xdr:from>
    <xdr:to>
      <xdr:col>3</xdr:col>
      <xdr:colOff>1176096</xdr:colOff>
      <xdr:row>126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113</xdr:row>
      <xdr:rowOff>1046</xdr:rowOff>
    </xdr:from>
    <xdr:to>
      <xdr:col>4</xdr:col>
      <xdr:colOff>904654</xdr:colOff>
      <xdr:row>114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06/2025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113</xdr:row>
      <xdr:rowOff>1046</xdr:rowOff>
    </xdr:from>
    <xdr:to>
      <xdr:col>6</xdr:col>
      <xdr:colOff>589718</xdr:colOff>
      <xdr:row>114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122</xdr:row>
      <xdr:rowOff>96505</xdr:rowOff>
    </xdr:from>
    <xdr:to>
      <xdr:col>6</xdr:col>
      <xdr:colOff>732905</xdr:colOff>
      <xdr:row>122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109</xdr:row>
      <xdr:rowOff>127009</xdr:rowOff>
    </xdr:from>
    <xdr:to>
      <xdr:col>6</xdr:col>
      <xdr:colOff>627940</xdr:colOff>
      <xdr:row>112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109</xdr:row>
      <xdr:rowOff>147810</xdr:rowOff>
    </xdr:from>
    <xdr:to>
      <xdr:col>3</xdr:col>
      <xdr:colOff>1176024</xdr:colOff>
      <xdr:row>114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56,4 MLD ZŁ </a:t>
          </a:r>
          <a:b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</a:br>
          <a:r>
            <a:rPr lang="pl-PL" sz="1400" b="1" i="0" u="none" strike="noStrike" baseline="0">
              <a:solidFill>
                <a:schemeClr val="bg1"/>
              </a:solidFill>
              <a:latin typeface="Arial"/>
              <a:cs typeface="Arial"/>
            </a:rPr>
            <a:t>w I-II kw. 2025</a:t>
          </a:r>
          <a:endParaRPr lang="en-US" sz="14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109</xdr:row>
      <xdr:rowOff>127009</xdr:rowOff>
    </xdr:from>
    <xdr:to>
      <xdr:col>10</xdr:col>
      <xdr:colOff>684389</xdr:colOff>
      <xdr:row>125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109</xdr:row>
      <xdr:rowOff>127009</xdr:rowOff>
    </xdr:from>
    <xdr:to>
      <xdr:col>14</xdr:col>
      <xdr:colOff>571499</xdr:colOff>
      <xdr:row>125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6 2025'!P9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16.3%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6 2025'!P10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-11.1%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6 2025'!U10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-4.7%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06/2025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6 2025'!U9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10.9%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45</xdr:row>
      <xdr:rowOff>177797</xdr:rowOff>
    </xdr:from>
    <xdr:to>
      <xdr:col>20</xdr:col>
      <xdr:colOff>1404697</xdr:colOff>
      <xdr:row>47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48</xdr:row>
      <xdr:rowOff>145594</xdr:rowOff>
    </xdr:from>
    <xdr:to>
      <xdr:col>20</xdr:col>
      <xdr:colOff>1404697</xdr:colOff>
      <xdr:row>50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45</xdr:row>
      <xdr:rowOff>177797</xdr:rowOff>
    </xdr:from>
    <xdr:to>
      <xdr:col>22</xdr:col>
      <xdr:colOff>38689</xdr:colOff>
      <xdr:row>47</xdr:row>
      <xdr:rowOff>136672</xdr:rowOff>
    </xdr:to>
    <xdr:sp macro="" textlink="'szacunek rynku_06 2025'!P12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-17.3%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48</xdr:row>
      <xdr:rowOff>145594</xdr:rowOff>
    </xdr:from>
    <xdr:to>
      <xdr:col>22</xdr:col>
      <xdr:colOff>38689</xdr:colOff>
      <xdr:row>50</xdr:row>
      <xdr:rowOff>104468</xdr:rowOff>
    </xdr:to>
    <xdr:sp macro="" textlink="'szacunek rynku_06 2025'!P13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12.1%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48</xdr:row>
      <xdr:rowOff>145594</xdr:rowOff>
    </xdr:from>
    <xdr:to>
      <xdr:col>24</xdr:col>
      <xdr:colOff>195579</xdr:colOff>
      <xdr:row>50</xdr:row>
      <xdr:rowOff>104468</xdr:rowOff>
    </xdr:to>
    <xdr:sp macro="" textlink="'szacunek rynku_06 2025'!U13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-8.4%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43</xdr:row>
      <xdr:rowOff>89946</xdr:rowOff>
    </xdr:from>
    <xdr:to>
      <xdr:col>22</xdr:col>
      <xdr:colOff>38689</xdr:colOff>
      <xdr:row>45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06/2025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43</xdr:row>
      <xdr:rowOff>89946</xdr:rowOff>
    </xdr:from>
    <xdr:to>
      <xdr:col>24</xdr:col>
      <xdr:colOff>195579</xdr:colOff>
      <xdr:row>45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45</xdr:row>
      <xdr:rowOff>177796</xdr:rowOff>
    </xdr:from>
    <xdr:to>
      <xdr:col>24</xdr:col>
      <xdr:colOff>195579</xdr:colOff>
      <xdr:row>47</xdr:row>
      <xdr:rowOff>136672</xdr:rowOff>
    </xdr:to>
    <xdr:sp macro="" textlink="'szacunek rynku_06 2025'!U12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-2.4%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39</xdr:row>
      <xdr:rowOff>127009</xdr:rowOff>
    </xdr:from>
    <xdr:to>
      <xdr:col>24</xdr:col>
      <xdr:colOff>195579</xdr:colOff>
      <xdr:row>42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51</xdr:row>
      <xdr:rowOff>113390</xdr:rowOff>
    </xdr:from>
    <xdr:to>
      <xdr:col>20</xdr:col>
      <xdr:colOff>1404697</xdr:colOff>
      <xdr:row>53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51</xdr:row>
      <xdr:rowOff>113390</xdr:rowOff>
    </xdr:from>
    <xdr:to>
      <xdr:col>22</xdr:col>
      <xdr:colOff>13289</xdr:colOff>
      <xdr:row>53</xdr:row>
      <xdr:rowOff>72264</xdr:rowOff>
    </xdr:to>
    <xdr:sp macro="" textlink="'szacunek rynku_06 2025'!P14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1.9%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51</xdr:row>
      <xdr:rowOff>113390</xdr:rowOff>
    </xdr:from>
    <xdr:to>
      <xdr:col>24</xdr:col>
      <xdr:colOff>170179</xdr:colOff>
      <xdr:row>53</xdr:row>
      <xdr:rowOff>72264</xdr:rowOff>
    </xdr:to>
    <xdr:sp macro="" textlink="'szacunek rynku_06 2025'!U14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8.4%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54</xdr:row>
      <xdr:rowOff>81187</xdr:rowOff>
    </xdr:from>
    <xdr:to>
      <xdr:col>20</xdr:col>
      <xdr:colOff>1404697</xdr:colOff>
      <xdr:row>56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54</xdr:row>
      <xdr:rowOff>81187</xdr:rowOff>
    </xdr:from>
    <xdr:to>
      <xdr:col>22</xdr:col>
      <xdr:colOff>25989</xdr:colOff>
      <xdr:row>56</xdr:row>
      <xdr:rowOff>40061</xdr:rowOff>
    </xdr:to>
    <xdr:sp macro="" textlink="'szacunek rynku_06 2025'!P15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35.2%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54</xdr:row>
      <xdr:rowOff>81187</xdr:rowOff>
    </xdr:from>
    <xdr:to>
      <xdr:col>24</xdr:col>
      <xdr:colOff>182879</xdr:colOff>
      <xdr:row>56</xdr:row>
      <xdr:rowOff>40061</xdr:rowOff>
    </xdr:to>
    <xdr:sp macro="" textlink="'szacunek rynku_06 2025'!U15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37.6%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81</xdr:row>
      <xdr:rowOff>6338</xdr:rowOff>
    </xdr:from>
    <xdr:to>
      <xdr:col>20</xdr:col>
      <xdr:colOff>1385663</xdr:colOff>
      <xdr:row>82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84</xdr:row>
      <xdr:rowOff>5885</xdr:rowOff>
    </xdr:from>
    <xdr:to>
      <xdr:col>20</xdr:col>
      <xdr:colOff>1385663</xdr:colOff>
      <xdr:row>85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81</xdr:row>
      <xdr:rowOff>6338</xdr:rowOff>
    </xdr:from>
    <xdr:to>
      <xdr:col>22</xdr:col>
      <xdr:colOff>19655</xdr:colOff>
      <xdr:row>82</xdr:row>
      <xdr:rowOff>149363</xdr:rowOff>
    </xdr:to>
    <xdr:sp macro="" textlink="'szacunek rynku_06 2025'!P18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CD8D611D-247B-4FDC-9D72-20DB2EFF2E5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0.6%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84</xdr:row>
      <xdr:rowOff>5885</xdr:rowOff>
    </xdr:from>
    <xdr:to>
      <xdr:col>22</xdr:col>
      <xdr:colOff>19655</xdr:colOff>
      <xdr:row>85</xdr:row>
      <xdr:rowOff>148909</xdr:rowOff>
    </xdr:to>
    <xdr:sp macro="" textlink="'szacunek rynku_06 2025'!P19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74F0EC8-DE47-4D50-827C-3B74932D55C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49.0%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84</xdr:row>
      <xdr:rowOff>5885</xdr:rowOff>
    </xdr:from>
    <xdr:to>
      <xdr:col>24</xdr:col>
      <xdr:colOff>176545</xdr:colOff>
      <xdr:row>85</xdr:row>
      <xdr:rowOff>148909</xdr:rowOff>
    </xdr:to>
    <xdr:sp macro="" textlink="'szacunek rynku_06 2025'!U19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764C193-0425-4470-8819-5EEDD7E74811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32.2%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78</xdr:row>
      <xdr:rowOff>102637</xdr:rowOff>
    </xdr:from>
    <xdr:to>
      <xdr:col>22</xdr:col>
      <xdr:colOff>19655</xdr:colOff>
      <xdr:row>80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797763" y="15806187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06/2025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78</xdr:row>
      <xdr:rowOff>102637</xdr:rowOff>
    </xdr:from>
    <xdr:to>
      <xdr:col>24</xdr:col>
      <xdr:colOff>176545</xdr:colOff>
      <xdr:row>80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81</xdr:row>
      <xdr:rowOff>6337</xdr:rowOff>
    </xdr:from>
    <xdr:to>
      <xdr:col>24</xdr:col>
      <xdr:colOff>176545</xdr:colOff>
      <xdr:row>82</xdr:row>
      <xdr:rowOff>149363</xdr:rowOff>
    </xdr:to>
    <xdr:sp macro="" textlink="'szacunek rynku_06 2025'!U18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9D20C95-914B-400F-B138-7AE22F51065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-9.3%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74</xdr:row>
      <xdr:rowOff>139700</xdr:rowOff>
    </xdr:from>
    <xdr:to>
      <xdr:col>24</xdr:col>
      <xdr:colOff>176545</xdr:colOff>
      <xdr:row>77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87</xdr:row>
      <xdr:rowOff>5431</xdr:rowOff>
    </xdr:from>
    <xdr:to>
      <xdr:col>20</xdr:col>
      <xdr:colOff>1385663</xdr:colOff>
      <xdr:row>88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87</xdr:row>
      <xdr:rowOff>5431</xdr:rowOff>
    </xdr:from>
    <xdr:to>
      <xdr:col>21</xdr:col>
      <xdr:colOff>1022955</xdr:colOff>
      <xdr:row>88</xdr:row>
      <xdr:rowOff>148455</xdr:rowOff>
    </xdr:to>
    <xdr:sp macro="" textlink="'szacunek rynku_06 2025'!P20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629EEA5-88A9-4888-B8B6-5DAA96F5DE55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-12.1%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87</xdr:row>
      <xdr:rowOff>5431</xdr:rowOff>
    </xdr:from>
    <xdr:to>
      <xdr:col>24</xdr:col>
      <xdr:colOff>151145</xdr:colOff>
      <xdr:row>88</xdr:row>
      <xdr:rowOff>148455</xdr:rowOff>
    </xdr:to>
    <xdr:sp macro="" textlink="'szacunek rynku_06 2025'!U20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DA3470E-FA5F-4BD8-8EB3-51959EC6F00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-7.4%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38100</xdr:colOff>
      <xdr:row>23</xdr:row>
      <xdr:rowOff>106543</xdr:rowOff>
    </xdr:from>
    <xdr:to>
      <xdr:col>14</xdr:col>
      <xdr:colOff>606777</xdr:colOff>
      <xdr:row>32</xdr:row>
      <xdr:rowOff>134843</xdr:rowOff>
    </xdr:to>
    <xdr:sp macro="" textlink="">
      <xdr:nvSpPr>
        <xdr:cNvPr id="124" name="Prostokąt: zaokrąglone rogi 123">
          <a:extLst>
            <a:ext uri="{FF2B5EF4-FFF2-40B4-BE49-F238E27FC236}">
              <a16:creationId xmlns:a16="http://schemas.microsoft.com/office/drawing/2014/main" id="{060494DA-F894-42B4-BBE6-EF03E3CD1648}"/>
            </a:ext>
          </a:extLst>
        </xdr:cNvPr>
        <xdr:cNvSpPr/>
      </xdr:nvSpPr>
      <xdr:spPr>
        <a:xfrm>
          <a:off x="895350" y="4773793"/>
          <a:ext cx="10900127" cy="169200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wciąż pozostają główną siłą napędową całego rynku leasingu, ale z niższym tempem rozwoju niż w latach 2023-2024.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po umiarkowanym wzroście w I kw. 2025 o 4,5% r/r przyspieszyła do 11,6% r/r w kwietniu 2025, 14,1% r/r w maju 2025 i 12,3% r/r w czerwcu 2025. To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nadal wyraźnie poniżej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24,7% r/r za cały 2024 roku.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 półrocza w OSD trochę pod negatywnym wpływem wysokiej aktywności sprzedażowej branży za 2023-2024. Oczekujemy, że wzrost gospodarczy w 2025, który będzie mocno bazował na popycie konsumpcyjnym, przełoży się na wzrost finansowania OSD w dalszej części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222250</xdr:colOff>
      <xdr:row>91</xdr:row>
      <xdr:rowOff>139700</xdr:rowOff>
    </xdr:from>
    <xdr:to>
      <xdr:col>14</xdr:col>
      <xdr:colOff>558093</xdr:colOff>
      <xdr:row>102</xdr:row>
      <xdr:rowOff>91017</xdr:rowOff>
    </xdr:to>
    <xdr:sp macro="" textlink="">
      <xdr:nvSpPr>
        <xdr:cNvPr id="123" name="Prostokąt: zaokrąglone rogi 122">
          <a:extLst>
            <a:ext uri="{FF2B5EF4-FFF2-40B4-BE49-F238E27FC236}">
              <a16:creationId xmlns:a16="http://schemas.microsoft.com/office/drawing/2014/main" id="{5AE89899-883C-4FFC-BE34-20D17BDCB50C}"/>
            </a:ext>
          </a:extLst>
        </xdr:cNvPr>
        <xdr:cNvSpPr/>
      </xdr:nvSpPr>
      <xdr:spPr>
        <a:xfrm>
          <a:off x="831850" y="18637250"/>
          <a:ext cx="10914943" cy="2034117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czerwcu 2025 przyspieszyło do 4,7% r/r po -2,2% r/r w 01-02/2025, 1,2% r/r w marcu 2025, -0,7% r/r w kwietniu i 6,0% r/r w maju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 finansowania maszyn w czerwcu 2025 bazował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 solidnym wkładzie maszyn rolniczych. Ich zanaczny wzrost obserujemy już od lutego 2025. Segment ten w pełni zrekompensował głębsze spadki w sektorze maszyn budowlanych w okresie 04-05/2025. 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Czerwiec 2025 r. przyniósł pierwszy w tym roku pozytywny wynik w sektorze budowlanym (0,6% r/r). „Inne maszyny”, po jednorazowym wzroście w maju 2025 r. i spadkach w okresie 01-04 2025 r. w czerwcu 2025 ponownie z ujemną dynamiką (-12,1% r/r).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215900</xdr:colOff>
      <xdr:row>127</xdr:row>
      <xdr:rowOff>0</xdr:rowOff>
    </xdr:from>
    <xdr:to>
      <xdr:col>14</xdr:col>
      <xdr:colOff>551743</xdr:colOff>
      <xdr:row>135</xdr:row>
      <xdr:rowOff>158750</xdr:rowOff>
    </xdr:to>
    <xdr:sp macro="" textlink="">
      <xdr:nvSpPr>
        <xdr:cNvPr id="140" name="Prostokąt: zaokrąglone rogi 139">
          <a:extLst>
            <a:ext uri="{FF2B5EF4-FFF2-40B4-BE49-F238E27FC236}">
              <a16:creationId xmlns:a16="http://schemas.microsoft.com/office/drawing/2014/main" id="{5441C4F7-C7A2-4A17-AB9C-BA9AD7725DCD}"/>
            </a:ext>
          </a:extLst>
        </xdr:cNvPr>
        <xdr:cNvSpPr/>
      </xdr:nvSpPr>
      <xdr:spPr>
        <a:xfrm>
          <a:off x="825500" y="25831800"/>
          <a:ext cx="10914943" cy="163195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Ostrożnie się rozpędzamy w 2025 roku. Wynik rynku za czerwiec zauważalnie powyżej 1,7% r/r dla I kwartału 2025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 7,5% w kwietniu 2025, ale trochę poniżej 10,8% r/r w maju 2025.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Dodatnia dynamika rynku budowana jest wciąż głównie przez finansowanie aktywów w pożyczce,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ale od kwietnia notujemy też niewielkie odbicie w samym leasingu.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wzrost znaczenia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ok. 5,5-proc. wzrost finansowania aktywów przez firmy leasingowe w 2025 roku, zgodnie z ostatnią lipcową prognozą ZPL.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188510</xdr:colOff>
      <xdr:row>34</xdr:row>
      <xdr:rowOff>18652</xdr:rowOff>
    </xdr:from>
    <xdr:to>
      <xdr:col>27</xdr:col>
      <xdr:colOff>21179</xdr:colOff>
      <xdr:row>54</xdr:row>
      <xdr:rowOff>191441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225145</xdr:colOff>
      <xdr:row>61</xdr:row>
      <xdr:rowOff>40798</xdr:rowOff>
    </xdr:from>
    <xdr:to>
      <xdr:col>27</xdr:col>
      <xdr:colOff>57725</xdr:colOff>
      <xdr:row>82</xdr:row>
      <xdr:rowOff>5243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157982</xdr:colOff>
      <xdr:row>6</xdr:row>
      <xdr:rowOff>28317</xdr:rowOff>
    </xdr:from>
    <xdr:to>
      <xdr:col>26</xdr:col>
      <xdr:colOff>582332</xdr:colOff>
      <xdr:row>26</xdr:row>
      <xdr:rowOff>204608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230169</xdr:colOff>
      <xdr:row>34</xdr:row>
      <xdr:rowOff>12843</xdr:rowOff>
    </xdr:from>
    <xdr:to>
      <xdr:col>33</xdr:col>
      <xdr:colOff>102069</xdr:colOff>
      <xdr:row>54</xdr:row>
      <xdr:rowOff>185604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300996</xdr:colOff>
      <xdr:row>61</xdr:row>
      <xdr:rowOff>53385</xdr:rowOff>
    </xdr:from>
    <xdr:to>
      <xdr:col>33</xdr:col>
      <xdr:colOff>180647</xdr:colOff>
      <xdr:row>82</xdr:row>
      <xdr:rowOff>14655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233833</xdr:colOff>
      <xdr:row>6</xdr:row>
      <xdr:rowOff>46006</xdr:rowOff>
    </xdr:from>
    <xdr:to>
      <xdr:col>33</xdr:col>
      <xdr:colOff>107198</xdr:colOff>
      <xdr:row>27</xdr:row>
      <xdr:rowOff>11526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6 2025'!$R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marL="0" indent="0" algn="ctr"/>
          <a:fld id="{EE573F98-4A5E-47A5-8028-A32CB29396B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6 2025'!$R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7AAEADA1-82E4-4BC8-9396-CCE49B458408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6 2025'!$R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6AB9256F-495E-486C-BB42-81E286D2614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6 2025'!$S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EE320CA-1939-4BCB-B9B4-E9D273C5EF9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6 2025'!$S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7C68544-B0B8-40B9-867E-7CB5810E735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6 2025'!$S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F1A72856-0FB9-467B-80DA-87BF7681865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I-VI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pac/Documents/Analizy/SZACOWANIE%20RYNKU%20LEASINGU%20-%20ZPL/2024/12%202024/model%20pe&#322;ny/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7"/>
  <sheetViews>
    <sheetView showGridLines="0" topLeftCell="A100" zoomScaleNormal="100" workbookViewId="0">
      <selection activeCell="T98" sqref="T98"/>
    </sheetView>
  </sheetViews>
  <sheetFormatPr defaultRowHeight="14.5" x14ac:dyDescent="0.35"/>
  <cols>
    <col min="2" max="2" width="3.54296875" customWidth="1"/>
    <col min="4" max="4" width="27" customWidth="1"/>
    <col min="5" max="7" width="14.7265625" customWidth="1"/>
    <col min="11" max="11" width="10.453125" bestFit="1" customWidth="1"/>
    <col min="12" max="14" width="10.453125" customWidth="1"/>
    <col min="16" max="16" width="3.54296875" customWidth="1"/>
    <col min="19" max="19" width="3.54296875" customWidth="1"/>
    <col min="21" max="21" width="27" customWidth="1"/>
    <col min="22" max="23" width="14.7265625" customWidth="1"/>
    <col min="29" max="29" width="3.54296875" customWidth="1"/>
  </cols>
  <sheetData>
    <row r="2" spans="2:31" ht="21" x14ac:dyDescent="0.5">
      <c r="B2" s="168" t="s">
        <v>96</v>
      </c>
      <c r="C2" s="167"/>
    </row>
    <row r="3" spans="2:31" ht="15" thickBot="1" x14ac:dyDescent="0.4"/>
    <row r="4" spans="2:31" ht="15" thickTop="1" x14ac:dyDescent="0.3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35">
      <c r="B5" s="4"/>
      <c r="C5" s="169" t="s">
        <v>28</v>
      </c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5"/>
      <c r="S5" s="4"/>
      <c r="T5" s="169" t="s">
        <v>93</v>
      </c>
      <c r="U5" s="169"/>
      <c r="V5" s="169"/>
      <c r="W5" s="169"/>
      <c r="X5" s="169"/>
      <c r="Y5" s="169"/>
      <c r="Z5" s="169"/>
      <c r="AA5" s="169"/>
      <c r="AB5" s="169"/>
      <c r="AC5" s="5"/>
      <c r="AE5" s="7"/>
    </row>
    <row r="6" spans="2:31" x14ac:dyDescent="0.35">
      <c r="B6" s="8"/>
      <c r="P6" s="9"/>
      <c r="S6" s="8"/>
      <c r="AC6" s="9"/>
    </row>
    <row r="7" spans="2:31" x14ac:dyDescent="0.35">
      <c r="B7" s="8"/>
      <c r="P7" s="9"/>
      <c r="S7" s="8"/>
      <c r="AC7" s="9"/>
    </row>
    <row r="8" spans="2:31" x14ac:dyDescent="0.35">
      <c r="B8" s="8"/>
      <c r="P8" s="9"/>
      <c r="S8" s="8"/>
      <c r="AC8" s="9"/>
    </row>
    <row r="9" spans="2:31" x14ac:dyDescent="0.35">
      <c r="B9" s="8"/>
      <c r="P9" s="9"/>
      <c r="S9" s="8"/>
      <c r="AC9" s="9"/>
    </row>
    <row r="10" spans="2:31" x14ac:dyDescent="0.35">
      <c r="B10" s="8"/>
      <c r="J10" s="61" t="s">
        <v>77</v>
      </c>
      <c r="N10" s="61" t="s">
        <v>77</v>
      </c>
      <c r="P10" s="9"/>
      <c r="S10" s="8"/>
      <c r="V10" s="14"/>
      <c r="AC10" s="9"/>
    </row>
    <row r="11" spans="2:31" x14ac:dyDescent="0.35">
      <c r="B11" s="8"/>
      <c r="I11" t="s">
        <v>1</v>
      </c>
      <c r="J11" s="62">
        <f>('szacunek rynku_06 2025'!S37+'szacunek rynku_06 2025'!S38)/('szacunek rynku_06 2025'!S9+'szacunek rynku_06 2025'!S10)</f>
        <v>0.9354141344124326</v>
      </c>
      <c r="M11" t="s">
        <v>0</v>
      </c>
      <c r="N11" s="62">
        <f>'szacunek rynku_06 2025'!S9/SUM('szacunek rynku_06 2025'!N9:S10)</f>
        <v>0.41601272190624422</v>
      </c>
      <c r="P11" s="9"/>
      <c r="S11" s="8"/>
      <c r="V11" s="64"/>
      <c r="Z11" s="13"/>
      <c r="AC11" s="9"/>
    </row>
    <row r="12" spans="2:31" x14ac:dyDescent="0.35">
      <c r="B12" s="8"/>
      <c r="I12" t="s">
        <v>2</v>
      </c>
      <c r="J12" s="62">
        <f>1-J11</f>
        <v>6.4585865587567404E-2</v>
      </c>
      <c r="M12" t="s">
        <v>3</v>
      </c>
      <c r="N12" s="62">
        <f>1-N11</f>
        <v>0.58398727809375583</v>
      </c>
      <c r="P12" s="9"/>
      <c r="S12" s="8"/>
      <c r="V12" s="64"/>
      <c r="Z12" s="13"/>
      <c r="AA12" s="69"/>
      <c r="AC12" s="9"/>
    </row>
    <row r="13" spans="2:31" x14ac:dyDescent="0.35">
      <c r="B13" s="8"/>
      <c r="P13" s="9"/>
      <c r="S13" s="8"/>
      <c r="Z13" s="13"/>
      <c r="AC13" s="9"/>
    </row>
    <row r="14" spans="2:31" x14ac:dyDescent="0.35">
      <c r="B14" s="8"/>
      <c r="I14" t="s">
        <v>1</v>
      </c>
      <c r="J14" s="63">
        <f>('szacunek rynku_06 2025'!N37+'szacunek rynku_06 2025'!N38)/('szacunek rynku_06 2025'!M37+'szacunek rynku_06 2025'!M38)-1</f>
        <v>8.5844704353534418E-2</v>
      </c>
      <c r="K14" s="62">
        <f>('szacunek rynku_06 2025'!S37+'szacunek rynku_06 2025'!S38)/('szacunek rynku_06 2025'!R37+'szacunek rynku_06 2025'!R38)-1</f>
        <v>6.7512074706840508E-2</v>
      </c>
      <c r="P14" s="9"/>
      <c r="S14" s="8"/>
      <c r="AC14" s="9"/>
    </row>
    <row r="15" spans="2:31" x14ac:dyDescent="0.35">
      <c r="B15" s="8"/>
      <c r="I15" t="s">
        <v>2</v>
      </c>
      <c r="J15" s="63">
        <f>('szacunek rynku_06 2025'!N64+'szacunek rynku_06 2025'!N65)/('szacunek rynku_06 2025'!M64+'szacunek rynku_06 2025'!M65)-1</f>
        <v>0.77500718739686669</v>
      </c>
      <c r="K15" s="62">
        <f>('szacunek rynku_06 2025'!S64+'szacunek rynku_06 2025'!S65)/('szacunek rynku_06 2025'!R64+'szacunek rynku_06 2025'!R65)-1</f>
        <v>0.47230657249892039</v>
      </c>
      <c r="P15" s="9"/>
      <c r="S15" s="8"/>
      <c r="AC15" s="9"/>
    </row>
    <row r="16" spans="2:31" x14ac:dyDescent="0.35">
      <c r="B16" s="8"/>
      <c r="I16" t="s">
        <v>34</v>
      </c>
      <c r="J16" s="63">
        <f>('szacunek rynku_06 2025'!N10+'szacunek rynku_06 2025'!N9)/('szacunek rynku_06 2025'!M9+'szacunek rynku_06 2025'!M10)-1</f>
        <v>0.12297514568642254</v>
      </c>
      <c r="K16" s="62">
        <f>('szacunek rynku_06 2025'!S10+'szacunek rynku_06 2025'!S9)/('szacunek rynku_06 2025'!R9+'szacunek rynku_06 2025'!R10)-1</f>
        <v>8.6810761797391667E-2</v>
      </c>
      <c r="P16" s="9"/>
      <c r="S16" s="8"/>
      <c r="AC16" s="9"/>
    </row>
    <row r="17" spans="2:29" x14ac:dyDescent="0.35">
      <c r="B17" s="8"/>
      <c r="P17" s="9"/>
      <c r="S17" s="8"/>
      <c r="AC17" s="9"/>
    </row>
    <row r="18" spans="2:29" x14ac:dyDescent="0.35">
      <c r="B18" s="8"/>
      <c r="P18" s="9"/>
      <c r="S18" s="8"/>
      <c r="AC18" s="9"/>
    </row>
    <row r="19" spans="2:29" x14ac:dyDescent="0.35">
      <c r="B19" s="8"/>
      <c r="P19" s="9"/>
      <c r="S19" s="8"/>
      <c r="AC19" s="9"/>
    </row>
    <row r="20" spans="2:29" x14ac:dyDescent="0.35">
      <c r="B20" s="8"/>
      <c r="P20" s="9"/>
      <c r="S20" s="8"/>
      <c r="AC20" s="9"/>
    </row>
    <row r="21" spans="2:29" x14ac:dyDescent="0.35">
      <c r="B21" s="8"/>
      <c r="P21" s="9"/>
      <c r="S21" s="8"/>
      <c r="AC21" s="9"/>
    </row>
    <row r="22" spans="2:29" x14ac:dyDescent="0.35">
      <c r="B22" s="8"/>
      <c r="P22" s="9"/>
      <c r="S22" s="8"/>
      <c r="AC22" s="9"/>
    </row>
    <row r="23" spans="2:29" ht="15" thickBot="1" x14ac:dyDescent="0.4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" thickTop="1" x14ac:dyDescent="0.35">
      <c r="B24" s="8"/>
      <c r="P24" s="9"/>
    </row>
    <row r="25" spans="2:29" x14ac:dyDescent="0.35">
      <c r="B25" s="8"/>
      <c r="P25" s="9"/>
    </row>
    <row r="26" spans="2:29" x14ac:dyDescent="0.35">
      <c r="B26" s="8"/>
      <c r="P26" s="9"/>
    </row>
    <row r="27" spans="2:29" x14ac:dyDescent="0.35">
      <c r="B27" s="8"/>
      <c r="P27" s="9"/>
    </row>
    <row r="28" spans="2:29" x14ac:dyDescent="0.35">
      <c r="B28" s="8"/>
      <c r="P28" s="9"/>
    </row>
    <row r="29" spans="2:29" x14ac:dyDescent="0.35">
      <c r="B29" s="8"/>
      <c r="P29" s="9"/>
    </row>
    <row r="30" spans="2:29" x14ac:dyDescent="0.35">
      <c r="B30" s="8"/>
      <c r="P30" s="9"/>
    </row>
    <row r="31" spans="2:29" x14ac:dyDescent="0.35">
      <c r="B31" s="8"/>
      <c r="P31" s="9"/>
    </row>
    <row r="32" spans="2:29" x14ac:dyDescent="0.35">
      <c r="B32" s="8"/>
      <c r="P32" s="9"/>
    </row>
    <row r="33" spans="2:31" ht="16.5" customHeight="1" thickBot="1" x14ac:dyDescent="0.4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31" ht="15" thickTop="1" x14ac:dyDescent="0.35"/>
    <row r="36" spans="2:31" ht="15" thickBot="1" x14ac:dyDescent="0.4"/>
    <row r="37" spans="2:31" ht="15" thickTop="1" x14ac:dyDescent="0.35"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S37" s="1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2:31" s="6" customFormat="1" ht="61.5" customHeight="1" x14ac:dyDescent="0.35">
      <c r="B38" s="4"/>
      <c r="C38" s="169" t="s">
        <v>29</v>
      </c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5"/>
      <c r="S38" s="4"/>
      <c r="T38" s="169" t="s">
        <v>94</v>
      </c>
      <c r="U38" s="169"/>
      <c r="V38" s="169"/>
      <c r="W38" s="169"/>
      <c r="X38" s="169"/>
      <c r="Y38" s="169"/>
      <c r="Z38" s="169"/>
      <c r="AA38" s="169"/>
      <c r="AB38" s="169"/>
      <c r="AC38" s="5"/>
      <c r="AE38" s="7"/>
    </row>
    <row r="39" spans="2:31" x14ac:dyDescent="0.35">
      <c r="B39" s="8"/>
      <c r="P39" s="9"/>
      <c r="S39" s="8"/>
      <c r="AC39" s="9"/>
    </row>
    <row r="40" spans="2:31" x14ac:dyDescent="0.35">
      <c r="B40" s="8"/>
      <c r="P40" s="9"/>
      <c r="S40" s="8"/>
      <c r="AC40" s="9"/>
    </row>
    <row r="41" spans="2:31" x14ac:dyDescent="0.35">
      <c r="B41" s="8"/>
      <c r="P41" s="9"/>
      <c r="S41" s="8"/>
      <c r="AC41" s="9"/>
    </row>
    <row r="42" spans="2:31" x14ac:dyDescent="0.35">
      <c r="B42" s="8"/>
      <c r="P42" s="9"/>
      <c r="S42" s="8"/>
      <c r="AC42" s="9"/>
    </row>
    <row r="43" spans="2:31" x14ac:dyDescent="0.35">
      <c r="B43" s="8"/>
      <c r="J43" s="61" t="s">
        <v>78</v>
      </c>
      <c r="N43" s="61" t="s">
        <v>78</v>
      </c>
      <c r="P43" s="9"/>
      <c r="S43" s="8"/>
      <c r="V43" s="14"/>
      <c r="AC43" s="9"/>
    </row>
    <row r="44" spans="2:31" x14ac:dyDescent="0.35">
      <c r="B44" s="8"/>
      <c r="I44" t="s">
        <v>1</v>
      </c>
      <c r="J44" s="62">
        <f>'szacunek rynku_06 2025'!S39/'szacunek rynku_06 2025'!S11</f>
        <v>0.9065336747417081</v>
      </c>
      <c r="K44" s="62"/>
      <c r="M44" t="s">
        <v>33</v>
      </c>
      <c r="N44" s="62">
        <f>'szacunek rynku_06 2025'!S12/'szacunek rynku_06 2025'!$S$11</f>
        <v>0.22038845376050473</v>
      </c>
      <c r="O44" s="62"/>
      <c r="P44" s="9"/>
      <c r="S44" s="8"/>
      <c r="V44" s="64"/>
      <c r="Z44" s="13"/>
      <c r="AC44" s="9"/>
    </row>
    <row r="45" spans="2:31" x14ac:dyDescent="0.35">
      <c r="B45" s="8"/>
      <c r="I45" t="s">
        <v>2</v>
      </c>
      <c r="J45" s="62">
        <f>1-J44</f>
        <v>9.3466325258291905E-2</v>
      </c>
      <c r="K45" s="62"/>
      <c r="M45" t="s">
        <v>4</v>
      </c>
      <c r="N45" s="62">
        <f>'szacunek rynku_06 2025'!S13/'szacunek rynku_06 2025'!$S$11</f>
        <v>0.46744421496304089</v>
      </c>
      <c r="O45" s="62"/>
      <c r="P45" s="9"/>
      <c r="S45" s="8"/>
      <c r="V45" s="64"/>
      <c r="Z45" s="13"/>
      <c r="AC45" s="9"/>
    </row>
    <row r="46" spans="2:31" x14ac:dyDescent="0.35">
      <c r="B46" s="8"/>
      <c r="M46" t="s">
        <v>5</v>
      </c>
      <c r="N46" s="62">
        <f>'szacunek rynku_06 2025'!S14/'szacunek rynku_06 2025'!$S$11</f>
        <v>0.21778006567018338</v>
      </c>
      <c r="O46" s="62"/>
      <c r="P46" s="9"/>
      <c r="S46" s="8"/>
      <c r="Z46" s="13"/>
      <c r="AC46" s="9"/>
    </row>
    <row r="47" spans="2:31" x14ac:dyDescent="0.35">
      <c r="B47" s="8"/>
      <c r="M47" t="s">
        <v>6</v>
      </c>
      <c r="N47" s="62">
        <f>'szacunek rynku_06 2025'!S15/'szacunek rynku_06 2025'!$S$11</f>
        <v>9.4387265606270962E-2</v>
      </c>
      <c r="O47" s="62"/>
      <c r="P47" s="9"/>
      <c r="S47" s="8"/>
      <c r="AC47" s="9"/>
    </row>
    <row r="48" spans="2:31" x14ac:dyDescent="0.35">
      <c r="B48" s="8"/>
      <c r="P48" s="9"/>
      <c r="S48" s="8"/>
      <c r="AC48" s="9"/>
    </row>
    <row r="49" spans="2:29" x14ac:dyDescent="0.35">
      <c r="B49" s="8"/>
      <c r="P49" s="9"/>
      <c r="S49" s="8"/>
      <c r="AC49" s="9"/>
    </row>
    <row r="50" spans="2:29" x14ac:dyDescent="0.35">
      <c r="B50" s="8"/>
      <c r="P50" s="9"/>
      <c r="S50" s="8"/>
      <c r="AC50" s="9"/>
    </row>
    <row r="51" spans="2:29" x14ac:dyDescent="0.35">
      <c r="B51" s="8"/>
      <c r="P51" s="9"/>
      <c r="S51" s="8"/>
      <c r="AC51" s="9"/>
    </row>
    <row r="52" spans="2:29" x14ac:dyDescent="0.35">
      <c r="B52" s="8"/>
      <c r="P52" s="9"/>
      <c r="S52" s="8"/>
      <c r="AC52" s="9"/>
    </row>
    <row r="53" spans="2:29" x14ac:dyDescent="0.35">
      <c r="B53" s="8"/>
      <c r="P53" s="9"/>
      <c r="S53" s="8"/>
      <c r="AC53" s="9"/>
    </row>
    <row r="54" spans="2:29" x14ac:dyDescent="0.35">
      <c r="B54" s="8"/>
      <c r="P54" s="9"/>
      <c r="S54" s="8"/>
      <c r="AC54" s="9"/>
    </row>
    <row r="55" spans="2:29" x14ac:dyDescent="0.35">
      <c r="B55" s="8"/>
      <c r="P55" s="9"/>
      <c r="S55" s="8"/>
      <c r="AC55" s="9"/>
    </row>
    <row r="56" spans="2:29" x14ac:dyDescent="0.35">
      <c r="B56" s="8"/>
      <c r="P56" s="9"/>
      <c r="S56" s="8"/>
      <c r="AC56" s="9"/>
    </row>
    <row r="57" spans="2:29" x14ac:dyDescent="0.35">
      <c r="B57" s="8"/>
      <c r="P57" s="9"/>
      <c r="S57" s="8"/>
      <c r="AC57" s="9"/>
    </row>
    <row r="58" spans="2:29" ht="15" thickBot="1" x14ac:dyDescent="0.4">
      <c r="B58" s="8"/>
      <c r="P58" s="9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2"/>
    </row>
    <row r="59" spans="2:29" ht="15" thickTop="1" x14ac:dyDescent="0.35">
      <c r="B59" s="8"/>
      <c r="P59" s="9"/>
    </row>
    <row r="60" spans="2:29" x14ac:dyDescent="0.35">
      <c r="B60" s="8"/>
      <c r="P60" s="9"/>
    </row>
    <row r="61" spans="2:29" x14ac:dyDescent="0.35">
      <c r="B61" s="8"/>
      <c r="P61" s="9"/>
    </row>
    <row r="62" spans="2:29" x14ac:dyDescent="0.35">
      <c r="B62" s="8"/>
      <c r="P62" s="9"/>
    </row>
    <row r="63" spans="2:29" x14ac:dyDescent="0.35">
      <c r="B63" s="8"/>
      <c r="P63" s="9"/>
    </row>
    <row r="64" spans="2:29" x14ac:dyDescent="0.35">
      <c r="B64" s="8"/>
      <c r="P64" s="9"/>
    </row>
    <row r="65" spans="2:31" x14ac:dyDescent="0.35">
      <c r="B65" s="8"/>
      <c r="P65" s="9"/>
    </row>
    <row r="66" spans="2:31" x14ac:dyDescent="0.35">
      <c r="B66" s="8"/>
      <c r="P66" s="9"/>
    </row>
    <row r="67" spans="2:31" x14ac:dyDescent="0.35">
      <c r="B67" s="8"/>
      <c r="P67" s="9"/>
    </row>
    <row r="68" spans="2:31" ht="16.5" customHeight="1" thickBot="1" x14ac:dyDescent="0.4"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2"/>
    </row>
    <row r="69" spans="2:31" ht="15" thickTop="1" x14ac:dyDescent="0.35"/>
    <row r="71" spans="2:31" ht="15" thickBot="1" x14ac:dyDescent="0.4"/>
    <row r="72" spans="2:31" ht="15" thickTop="1" x14ac:dyDescent="0.35"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S72" s="1"/>
      <c r="T72" s="2"/>
      <c r="U72" s="2"/>
      <c r="V72" s="2"/>
      <c r="W72" s="2"/>
      <c r="X72" s="2"/>
      <c r="Y72" s="2"/>
      <c r="Z72" s="2"/>
      <c r="AA72" s="2"/>
      <c r="AB72" s="2"/>
      <c r="AC72" s="3"/>
    </row>
    <row r="73" spans="2:31" s="6" customFormat="1" ht="61.5" customHeight="1" x14ac:dyDescent="0.35">
      <c r="B73" s="4"/>
      <c r="C73" s="169" t="s">
        <v>30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5"/>
      <c r="S73" s="4"/>
      <c r="T73" s="169" t="s">
        <v>95</v>
      </c>
      <c r="U73" s="169"/>
      <c r="V73" s="169"/>
      <c r="W73" s="169"/>
      <c r="X73" s="169"/>
      <c r="Y73" s="169"/>
      <c r="Z73" s="169"/>
      <c r="AA73" s="169"/>
      <c r="AB73" s="169"/>
      <c r="AC73" s="5"/>
      <c r="AE73" s="7"/>
    </row>
    <row r="74" spans="2:31" x14ac:dyDescent="0.35">
      <c r="B74" s="8"/>
      <c r="P74" s="9"/>
      <c r="S74" s="8"/>
      <c r="AC74" s="9"/>
    </row>
    <row r="75" spans="2:31" x14ac:dyDescent="0.35">
      <c r="B75" s="8"/>
      <c r="P75" s="9"/>
      <c r="S75" s="8"/>
      <c r="AC75" s="9"/>
    </row>
    <row r="76" spans="2:31" x14ac:dyDescent="0.35">
      <c r="B76" s="8"/>
      <c r="P76" s="9"/>
      <c r="S76" s="8"/>
      <c r="AC76" s="9"/>
    </row>
    <row r="77" spans="2:31" x14ac:dyDescent="0.35">
      <c r="B77" s="8"/>
      <c r="P77" s="9"/>
      <c r="S77" s="8"/>
      <c r="AC77" s="9"/>
    </row>
    <row r="78" spans="2:31" x14ac:dyDescent="0.35">
      <c r="B78" s="8"/>
      <c r="J78" s="61" t="s">
        <v>78</v>
      </c>
      <c r="N78" s="61" t="s">
        <v>78</v>
      </c>
      <c r="P78" s="9"/>
      <c r="S78" s="8"/>
      <c r="V78" s="14"/>
      <c r="AC78" s="9"/>
    </row>
    <row r="79" spans="2:31" x14ac:dyDescent="0.35">
      <c r="B79" s="8"/>
      <c r="I79" t="s">
        <v>1</v>
      </c>
      <c r="J79" s="13">
        <f>'szacunek rynku_06 2025'!S45/'szacunek rynku_06 2025'!S17</f>
        <v>0.61011014141010333</v>
      </c>
      <c r="M79" t="s">
        <v>24</v>
      </c>
      <c r="N79" s="13">
        <f>'szacunek rynku_06 2025'!S18/'szacunek rynku_06 2025'!$S$17</f>
        <v>0.18822681251236253</v>
      </c>
      <c r="P79" s="9"/>
      <c r="S79" s="8"/>
      <c r="V79" s="64"/>
      <c r="Z79" s="13"/>
      <c r="AC79" s="9"/>
    </row>
    <row r="80" spans="2:31" x14ac:dyDescent="0.35">
      <c r="B80" s="8"/>
      <c r="I80" t="s">
        <v>2</v>
      </c>
      <c r="J80" s="13">
        <f>1-J79</f>
        <v>0.38988985858989667</v>
      </c>
      <c r="M80" t="s">
        <v>23</v>
      </c>
      <c r="N80" s="13">
        <f>'szacunek rynku_06 2025'!S19/'szacunek rynku_06 2025'!$S$17</f>
        <v>0.30036013461916444</v>
      </c>
      <c r="P80" s="9"/>
      <c r="S80" s="8"/>
      <c r="V80" s="64"/>
      <c r="Z80" s="13"/>
      <c r="AC80" s="9"/>
    </row>
    <row r="81" spans="2:29" x14ac:dyDescent="0.35">
      <c r="B81" s="8"/>
      <c r="M81" t="s">
        <v>32</v>
      </c>
      <c r="N81" s="13">
        <f>'szacunek rynku_06 2025'!S20/'szacunek rynku_06 2025'!$S$17</f>
        <v>0.51141305286847305</v>
      </c>
      <c r="P81" s="9"/>
      <c r="S81" s="8"/>
      <c r="Z81" s="13"/>
      <c r="AC81" s="9"/>
    </row>
    <row r="82" spans="2:29" x14ac:dyDescent="0.35">
      <c r="B82" s="8"/>
      <c r="N82" s="13"/>
      <c r="P82" s="9"/>
      <c r="S82" s="8"/>
      <c r="AC82" s="9"/>
    </row>
    <row r="83" spans="2:29" x14ac:dyDescent="0.35">
      <c r="B83" s="8"/>
      <c r="P83" s="9"/>
      <c r="S83" s="8"/>
      <c r="AC83" s="9"/>
    </row>
    <row r="84" spans="2:29" x14ac:dyDescent="0.35">
      <c r="B84" s="8"/>
      <c r="P84" s="9"/>
      <c r="S84" s="8"/>
      <c r="AC84" s="9"/>
    </row>
    <row r="85" spans="2:29" x14ac:dyDescent="0.35">
      <c r="B85" s="8"/>
      <c r="P85" s="9"/>
      <c r="S85" s="8"/>
      <c r="AC85" s="9"/>
    </row>
    <row r="86" spans="2:29" x14ac:dyDescent="0.35">
      <c r="B86" s="8"/>
      <c r="P86" s="9"/>
      <c r="S86" s="8"/>
      <c r="AC86" s="9"/>
    </row>
    <row r="87" spans="2:29" x14ac:dyDescent="0.35">
      <c r="B87" s="8"/>
      <c r="P87" s="9"/>
      <c r="S87" s="8"/>
      <c r="AC87" s="9"/>
    </row>
    <row r="88" spans="2:29" x14ac:dyDescent="0.35">
      <c r="B88" s="8"/>
      <c r="P88" s="9"/>
      <c r="S88" s="8"/>
      <c r="AC88" s="9"/>
    </row>
    <row r="89" spans="2:29" x14ac:dyDescent="0.35">
      <c r="B89" s="8"/>
      <c r="P89" s="9"/>
      <c r="S89" s="8"/>
      <c r="AC89" s="9"/>
    </row>
    <row r="90" spans="2:29" x14ac:dyDescent="0.35">
      <c r="B90" s="8"/>
      <c r="P90" s="9"/>
      <c r="S90" s="8"/>
      <c r="AC90" s="9"/>
    </row>
    <row r="91" spans="2:29" ht="15" thickBot="1" x14ac:dyDescent="0.4">
      <c r="B91" s="8"/>
      <c r="P91" s="9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2"/>
    </row>
    <row r="92" spans="2:29" ht="15" thickTop="1" x14ac:dyDescent="0.35">
      <c r="B92" s="8"/>
      <c r="P92" s="9"/>
    </row>
    <row r="93" spans="2:29" x14ac:dyDescent="0.35">
      <c r="B93" s="8"/>
      <c r="P93" s="9"/>
    </row>
    <row r="94" spans="2:29" x14ac:dyDescent="0.35">
      <c r="B94" s="8"/>
      <c r="P94" s="9"/>
    </row>
    <row r="95" spans="2:29" x14ac:dyDescent="0.35">
      <c r="B95" s="8"/>
      <c r="P95" s="9"/>
    </row>
    <row r="96" spans="2:29" x14ac:dyDescent="0.35">
      <c r="B96" s="8"/>
      <c r="P96" s="9"/>
    </row>
    <row r="97" spans="2:31" x14ac:dyDescent="0.35">
      <c r="B97" s="8"/>
      <c r="P97" s="9"/>
    </row>
    <row r="98" spans="2:31" x14ac:dyDescent="0.35">
      <c r="B98" s="8"/>
      <c r="P98" s="9"/>
    </row>
    <row r="99" spans="2:31" x14ac:dyDescent="0.35">
      <c r="B99" s="8"/>
      <c r="P99" s="9"/>
    </row>
    <row r="100" spans="2:31" x14ac:dyDescent="0.35">
      <c r="B100" s="8"/>
      <c r="P100" s="9"/>
    </row>
    <row r="101" spans="2:31" ht="16.5" customHeight="1" x14ac:dyDescent="0.35">
      <c r="B101" s="8"/>
      <c r="P101" s="9"/>
    </row>
    <row r="102" spans="2:31" ht="16.5" customHeight="1" x14ac:dyDescent="0.35">
      <c r="B102" s="8"/>
      <c r="P102" s="9"/>
    </row>
    <row r="103" spans="2:31" ht="16.5" customHeight="1" x14ac:dyDescent="0.35">
      <c r="B103" s="8"/>
      <c r="P103" s="9"/>
    </row>
    <row r="104" spans="2:31" ht="15" thickBot="1" x14ac:dyDescent="0.4"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2"/>
    </row>
    <row r="105" spans="2:31" ht="15" thickTop="1" x14ac:dyDescent="0.35"/>
    <row r="106" spans="2:31" ht="15" thickBot="1" x14ac:dyDescent="0.4"/>
    <row r="107" spans="2:31" ht="15" thickTop="1" x14ac:dyDescent="0.35"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3"/>
    </row>
    <row r="108" spans="2:31" s="6" customFormat="1" ht="61.5" customHeight="1" x14ac:dyDescent="0.35">
      <c r="B108" s="4"/>
      <c r="C108" s="169" t="s">
        <v>31</v>
      </c>
      <c r="D108" s="169"/>
      <c r="E108" s="169"/>
      <c r="F108" s="169"/>
      <c r="G108" s="169"/>
      <c r="H108" s="169"/>
      <c r="I108" s="169"/>
      <c r="J108" s="169"/>
      <c r="K108" s="169"/>
      <c r="L108" s="169"/>
      <c r="M108" s="169"/>
      <c r="N108" s="169"/>
      <c r="O108" s="169"/>
      <c r="P108" s="5"/>
      <c r="T108" s="65"/>
      <c r="U108" s="65"/>
      <c r="V108" s="65"/>
      <c r="W108" s="65"/>
      <c r="X108" s="65"/>
      <c r="Y108" s="65"/>
      <c r="Z108" s="65"/>
      <c r="AA108" s="65"/>
      <c r="AB108" s="65"/>
      <c r="AE108" s="7"/>
    </row>
    <row r="109" spans="2:31" x14ac:dyDescent="0.35">
      <c r="B109" s="8"/>
      <c r="P109" s="9"/>
    </row>
    <row r="110" spans="2:31" x14ac:dyDescent="0.35">
      <c r="B110" s="8"/>
      <c r="P110" s="9"/>
    </row>
    <row r="111" spans="2:31" x14ac:dyDescent="0.35">
      <c r="B111" s="8"/>
      <c r="P111" s="9"/>
    </row>
    <row r="112" spans="2:31" x14ac:dyDescent="0.35">
      <c r="B112" s="8"/>
      <c r="P112" s="9"/>
    </row>
    <row r="113" spans="2:26" x14ac:dyDescent="0.35">
      <c r="B113" s="8"/>
      <c r="J113" s="61" t="s">
        <v>35</v>
      </c>
      <c r="N113" s="61" t="s">
        <v>35</v>
      </c>
      <c r="P113" s="9"/>
      <c r="V113" s="14"/>
    </row>
    <row r="114" spans="2:26" x14ac:dyDescent="0.35">
      <c r="B114" s="8"/>
      <c r="I114" t="s">
        <v>1</v>
      </c>
      <c r="J114" s="62">
        <f>'szacunek rynku_06 2025'!S53/'szacunek rynku_06 2025'!S25</f>
        <v>0.85503519630257419</v>
      </c>
      <c r="M114" t="s">
        <v>25</v>
      </c>
      <c r="N114" s="62">
        <f>('szacunek rynku_06 2025'!S9+'szacunek rynku_06 2025'!S10)/'szacunek rynku_06 2025'!S25</f>
        <v>0.56771791724049214</v>
      </c>
      <c r="P114" s="9"/>
      <c r="V114" s="64"/>
      <c r="Z114" s="13"/>
    </row>
    <row r="115" spans="2:26" x14ac:dyDescent="0.35">
      <c r="B115" s="8"/>
      <c r="I115" t="s">
        <v>2</v>
      </c>
      <c r="J115" s="62">
        <f>1-J114</f>
        <v>0.14496480369742581</v>
      </c>
      <c r="M115" t="s">
        <v>26</v>
      </c>
      <c r="N115" s="62">
        <f>'szacunek rynku_06 2025'!S11/'szacunek rynku_06 2025'!S25</f>
        <v>0.16739085003209669</v>
      </c>
      <c r="P115" s="9"/>
      <c r="V115" s="64"/>
      <c r="Z115" s="13"/>
    </row>
    <row r="116" spans="2:26" x14ac:dyDescent="0.35">
      <c r="B116" s="8"/>
      <c r="M116" t="s">
        <v>27</v>
      </c>
      <c r="N116" s="62">
        <f>'szacunek rynku_06 2025'!S17/'szacunek rynku_06 2025'!S25</f>
        <v>0.22610711100821065</v>
      </c>
      <c r="P116" s="9"/>
      <c r="Z116" s="13"/>
    </row>
    <row r="117" spans="2:26" x14ac:dyDescent="0.35">
      <c r="B117" s="8"/>
      <c r="M117" t="s">
        <v>7</v>
      </c>
      <c r="N117" s="62">
        <f>'szacunek rynku_06 2025'!S21/'szacunek rynku_06 2025'!S25</f>
        <v>1.0547268783022147E-2</v>
      </c>
      <c r="P117" s="9"/>
    </row>
    <row r="118" spans="2:26" x14ac:dyDescent="0.35">
      <c r="B118" s="8"/>
      <c r="M118" t="s">
        <v>22</v>
      </c>
      <c r="N118" s="62">
        <f>('szacunek rynku_06 2025'!S16+'szacunek rynku_06 2025'!S22+'szacunek rynku_06 2025'!S23)/'szacunek rynku_06 2025'!S25</f>
        <v>2.8236852936178509E-2</v>
      </c>
      <c r="P118" s="9"/>
    </row>
    <row r="119" spans="2:26" x14ac:dyDescent="0.35">
      <c r="B119" s="8"/>
      <c r="P119" s="9"/>
    </row>
    <row r="120" spans="2:26" x14ac:dyDescent="0.35">
      <c r="B120" s="8"/>
      <c r="P120" s="9"/>
    </row>
    <row r="121" spans="2:26" x14ac:dyDescent="0.35">
      <c r="B121" s="8"/>
      <c r="P121" s="9"/>
    </row>
    <row r="122" spans="2:26" x14ac:dyDescent="0.35">
      <c r="B122" s="8"/>
      <c r="P122" s="9"/>
    </row>
    <row r="123" spans="2:26" x14ac:dyDescent="0.35">
      <c r="B123" s="8"/>
      <c r="P123" s="9"/>
    </row>
    <row r="124" spans="2:26" x14ac:dyDescent="0.35">
      <c r="B124" s="8"/>
      <c r="P124" s="9"/>
    </row>
    <row r="125" spans="2:26" x14ac:dyDescent="0.35">
      <c r="B125" s="8"/>
      <c r="P125" s="9"/>
    </row>
    <row r="126" spans="2:26" x14ac:dyDescent="0.35">
      <c r="B126" s="8"/>
      <c r="P126" s="9"/>
    </row>
    <row r="127" spans="2:26" x14ac:dyDescent="0.35">
      <c r="B127" s="8"/>
      <c r="P127" s="9"/>
    </row>
    <row r="128" spans="2:26" x14ac:dyDescent="0.35">
      <c r="B128" s="8"/>
      <c r="P128" s="9"/>
    </row>
    <row r="129" spans="2:16" x14ac:dyDescent="0.35">
      <c r="B129" s="8"/>
      <c r="P129" s="9"/>
    </row>
    <row r="130" spans="2:16" x14ac:dyDescent="0.35">
      <c r="B130" s="8"/>
      <c r="P130" s="9"/>
    </row>
    <row r="131" spans="2:16" x14ac:dyDescent="0.35">
      <c r="B131" s="8"/>
      <c r="P131" s="9"/>
    </row>
    <row r="132" spans="2:16" x14ac:dyDescent="0.35">
      <c r="B132" s="8"/>
      <c r="P132" s="9"/>
    </row>
    <row r="133" spans="2:16" x14ac:dyDescent="0.35">
      <c r="B133" s="8"/>
      <c r="P133" s="9"/>
    </row>
    <row r="134" spans="2:16" x14ac:dyDescent="0.35">
      <c r="B134" s="8"/>
      <c r="P134" s="9"/>
    </row>
    <row r="135" spans="2:16" x14ac:dyDescent="0.35">
      <c r="B135" s="8"/>
      <c r="P135" s="9"/>
    </row>
    <row r="136" spans="2:16" ht="16.5" customHeight="1" thickBot="1" x14ac:dyDescent="0.4">
      <c r="B136" s="10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2"/>
    </row>
    <row r="137" spans="2:16" ht="15" thickTop="1" x14ac:dyDescent="0.35"/>
  </sheetData>
  <mergeCells count="7">
    <mergeCell ref="C108:O108"/>
    <mergeCell ref="C5:O5"/>
    <mergeCell ref="T5:AB5"/>
    <mergeCell ref="C38:O38"/>
    <mergeCell ref="T38:AB38"/>
    <mergeCell ref="C73:O73"/>
    <mergeCell ref="T73:AB73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V138"/>
  <sheetViews>
    <sheetView showGridLines="0" tabSelected="1" zoomScale="104" zoomScaleNormal="104" workbookViewId="0"/>
  </sheetViews>
  <sheetFormatPr defaultColWidth="9.1796875" defaultRowHeight="12.5" x14ac:dyDescent="0.25"/>
  <cols>
    <col min="1" max="1" width="6.26953125" style="20" customWidth="1"/>
    <col min="2" max="2" width="44.7265625" style="22" customWidth="1"/>
    <col min="3" max="3" width="10.54296875" style="22" bestFit="1" customWidth="1"/>
    <col min="4" max="4" width="10.54296875" style="22" customWidth="1"/>
    <col min="5" max="5" width="2.54296875" style="22" customWidth="1"/>
    <col min="6" max="6" width="10" style="20" bestFit="1" customWidth="1"/>
    <col min="7" max="7" width="2.54296875" style="22" customWidth="1"/>
    <col min="8" max="8" width="10.54296875" style="22" bestFit="1" customWidth="1"/>
    <col min="9" max="9" width="10.54296875" style="22" customWidth="1"/>
    <col min="10" max="10" width="2.54296875" style="22" customWidth="1"/>
    <col min="11" max="11" width="10" style="20" bestFit="1" customWidth="1"/>
    <col min="12" max="12" width="2.54296875" style="22" customWidth="1"/>
    <col min="13" max="13" width="10.54296875" style="22" bestFit="1" customWidth="1"/>
    <col min="14" max="14" width="10.54296875" style="22" customWidth="1"/>
    <col min="15" max="15" width="2.54296875" style="22" customWidth="1"/>
    <col min="16" max="16" width="10" style="20" bestFit="1" customWidth="1"/>
    <col min="17" max="17" width="2.54296875" style="22" customWidth="1"/>
    <col min="18" max="18" width="10.54296875" style="22" bestFit="1" customWidth="1"/>
    <col min="19" max="19" width="10.54296875" style="22" customWidth="1"/>
    <col min="20" max="20" width="2.54296875" style="22" customWidth="1"/>
    <col min="21" max="21" width="10" style="20" bestFit="1" customWidth="1"/>
    <col min="22" max="22" width="9" style="22" customWidth="1"/>
    <col min="23" max="23" width="10.453125" style="22" customWidth="1"/>
    <col min="24" max="26" width="9.1796875" style="22"/>
    <col min="27" max="27" width="8.453125" style="22" customWidth="1"/>
    <col min="28" max="28" width="2.453125" style="22" customWidth="1"/>
    <col min="29" max="16384" width="9.1796875" style="22"/>
  </cols>
  <sheetData>
    <row r="2" spans="1:22" ht="21" x14ac:dyDescent="0.5">
      <c r="B2" s="168" t="s">
        <v>96</v>
      </c>
    </row>
    <row r="4" spans="1:22" ht="18" x14ac:dyDescent="0.25">
      <c r="B4" s="21" t="s">
        <v>19</v>
      </c>
    </row>
    <row r="6" spans="1:22" ht="45" customHeight="1" x14ac:dyDescent="0.25">
      <c r="A6" s="23"/>
      <c r="C6" s="170" t="str">
        <f>C$33</f>
        <v>I-III 2025 vs I-III 2024</v>
      </c>
      <c r="D6" s="170"/>
      <c r="E6" s="170"/>
      <c r="F6" s="170"/>
      <c r="H6" s="170" t="str">
        <f>H33</f>
        <v>IV-VI 2025 vs IV-VI 2024</v>
      </c>
      <c r="I6" s="170"/>
      <c r="J6" s="170"/>
      <c r="K6" s="170"/>
      <c r="M6" s="170" t="str">
        <f>M$33</f>
        <v>VI 2025 vs VI 2024</v>
      </c>
      <c r="N6" s="170"/>
      <c r="O6" s="170"/>
      <c r="P6" s="170"/>
      <c r="R6" s="170" t="str">
        <f>R$33</f>
        <v>I-VI 2025 vs I-VI 2024</v>
      </c>
      <c r="S6" s="170"/>
      <c r="T6" s="170"/>
      <c r="U6" s="170"/>
    </row>
    <row r="7" spans="1:22" ht="21" x14ac:dyDescent="0.25">
      <c r="A7" s="24"/>
      <c r="C7" s="25" t="str">
        <f>C$35</f>
        <v>I-III 2024</v>
      </c>
      <c r="D7" s="25" t="str">
        <f>D$35</f>
        <v>I-III 2025</v>
      </c>
      <c r="F7" s="25" t="str">
        <f>F$35</f>
        <v>I-III 25/
I-III 24</v>
      </c>
      <c r="H7" s="25" t="str">
        <f>H$35</f>
        <v>IV-VI 2024</v>
      </c>
      <c r="I7" s="25" t="str">
        <f>I$35</f>
        <v>IV-VI 2025</v>
      </c>
      <c r="K7" s="25" t="str">
        <f>K$35</f>
        <v>IV-VI 2025/
IV-VI 2024</v>
      </c>
      <c r="M7" s="25" t="str">
        <f>M$35</f>
        <v>VI 2024</v>
      </c>
      <c r="N7" s="25" t="str">
        <f>N$35</f>
        <v>VI 2025</v>
      </c>
      <c r="P7" s="25" t="str">
        <f>P$35</f>
        <v>VI 25 / 
VI 24</v>
      </c>
      <c r="R7" s="25" t="str">
        <f>R$35</f>
        <v>I-VI 2024</v>
      </c>
      <c r="S7" s="25" t="str">
        <f>S$35</f>
        <v>I-VI 2025</v>
      </c>
      <c r="U7" s="25" t="str">
        <f>U$35</f>
        <v>I-VI 25/
I-VI 24</v>
      </c>
    </row>
    <row r="8" spans="1:22" s="52" customFormat="1" ht="13" x14ac:dyDescent="0.3">
      <c r="A8" s="40"/>
      <c r="B8" s="27" t="s">
        <v>14</v>
      </c>
      <c r="C8" s="66">
        <f>SUM(C36,C63)</f>
        <v>19239.392738806931</v>
      </c>
      <c r="D8" s="66">
        <f>SUM(D36,D63)</f>
        <v>19703.470297145614</v>
      </c>
      <c r="F8" s="53">
        <f t="shared" ref="F8:F23" si="0">IF(C8,D8/C8-1,"")</f>
        <v>2.4121216539366719E-2</v>
      </c>
      <c r="H8" s="66">
        <f>SUM(H36,H63)</f>
        <v>20198.145692076941</v>
      </c>
      <c r="I8" s="66">
        <f>SUM(I36,I63)</f>
        <v>22213.818514285969</v>
      </c>
      <c r="K8" s="53">
        <f t="shared" ref="K8:K23" si="1">IF(H8,I8/H8-1,"")</f>
        <v>9.9794944196273772E-2</v>
      </c>
      <c r="M8" s="66">
        <f>SUM(M36,M63)</f>
        <v>7071.3335979976991</v>
      </c>
      <c r="N8" s="66">
        <f>SUM(N36,N63)</f>
        <v>7768.7657499117686</v>
      </c>
      <c r="P8" s="53">
        <f t="shared" ref="P8:P23" si="2">IF(M8,N8/M8-1,"")</f>
        <v>9.8628093590656274E-2</v>
      </c>
      <c r="R8" s="66">
        <f>SUM(R36,R63)</f>
        <v>39437.538430883869</v>
      </c>
      <c r="S8" s="66">
        <f>SUM(S36,S63)</f>
        <v>41917.288811431572</v>
      </c>
      <c r="U8" s="53">
        <f t="shared" ref="U8:U23" si="3">IF(R8,S8/R8-1,"")</f>
        <v>6.2877919850235608E-2</v>
      </c>
    </row>
    <row r="9" spans="1:22" s="20" customFormat="1" ht="10" x14ac:dyDescent="0.2">
      <c r="A9" s="26"/>
      <c r="B9" s="54" t="s">
        <v>0</v>
      </c>
      <c r="C9" s="67">
        <f t="shared" ref="C9:D9" si="4">SUM(C37,C64)</f>
        <v>12339.255950731058</v>
      </c>
      <c r="D9" s="67">
        <f t="shared" si="4"/>
        <v>13051.950264581417</v>
      </c>
      <c r="F9" s="28">
        <f t="shared" si="0"/>
        <v>5.7758289210958047E-2</v>
      </c>
      <c r="H9" s="67">
        <f t="shared" ref="H9:I9" si="5">SUM(H37,H64)</f>
        <v>12977.06903848235</v>
      </c>
      <c r="I9" s="67">
        <f t="shared" si="5"/>
        <v>15015.378143015583</v>
      </c>
      <c r="K9" s="28">
        <f t="shared" si="1"/>
        <v>0.1570700670920997</v>
      </c>
      <c r="M9" s="67">
        <f t="shared" ref="M9:N9" si="6">SUM(M37,M64)</f>
        <v>4580.5338039353628</v>
      </c>
      <c r="N9" s="67">
        <f t="shared" si="6"/>
        <v>5327.8202921077955</v>
      </c>
      <c r="P9" s="28">
        <f t="shared" si="2"/>
        <v>0.16314397407795611</v>
      </c>
      <c r="R9" s="67">
        <f t="shared" ref="R9:S9" si="7">SUM(R37,R64)</f>
        <v>25316.324989213408</v>
      </c>
      <c r="S9" s="67">
        <f t="shared" si="7"/>
        <v>28067.328407597</v>
      </c>
      <c r="U9" s="28">
        <f t="shared" si="3"/>
        <v>0.10866519605652547</v>
      </c>
    </row>
    <row r="10" spans="1:22" s="20" customFormat="1" ht="10" x14ac:dyDescent="0.2">
      <c r="A10" s="26"/>
      <c r="B10" s="54" t="s">
        <v>8</v>
      </c>
      <c r="C10" s="67">
        <f t="shared" ref="C10:D10" si="8">SUM(C38,C65)</f>
        <v>2019.7260793095452</v>
      </c>
      <c r="D10" s="67">
        <f t="shared" si="8"/>
        <v>1957.003318352193</v>
      </c>
      <c r="F10" s="28">
        <f t="shared" si="0"/>
        <v>-3.1055082963920677E-2</v>
      </c>
      <c r="H10" s="67">
        <f t="shared" ref="H10:I10" si="9">SUM(H38,H65)</f>
        <v>2106.2252338003877</v>
      </c>
      <c r="I10" s="67">
        <f t="shared" si="9"/>
        <v>1973.8510112281283</v>
      </c>
      <c r="K10" s="28">
        <f t="shared" si="1"/>
        <v>-6.2849034589434027E-2</v>
      </c>
      <c r="M10" s="67">
        <f t="shared" ref="M10:N10" si="10">SUM(M38,M65)</f>
        <v>786.42824444943403</v>
      </c>
      <c r="N10" s="67">
        <f t="shared" si="10"/>
        <v>699.14469607062154</v>
      </c>
      <c r="P10" s="28">
        <f t="shared" si="2"/>
        <v>-0.11098730112359878</v>
      </c>
      <c r="R10" s="67">
        <f t="shared" ref="R10:S10" si="11">SUM(R38,R65)</f>
        <v>4125.9513131099329</v>
      </c>
      <c r="S10" s="67">
        <f t="shared" si="11"/>
        <v>3930.8543295803211</v>
      </c>
      <c r="U10" s="28">
        <f t="shared" si="3"/>
        <v>-4.7285333423519593E-2</v>
      </c>
    </row>
    <row r="11" spans="1:22" x14ac:dyDescent="0.25">
      <c r="A11" s="56"/>
      <c r="B11" s="29" t="s">
        <v>9</v>
      </c>
      <c r="C11" s="68">
        <f t="shared" ref="C11:D11" si="12">SUM(C39,C66)</f>
        <v>4650.778643981489</v>
      </c>
      <c r="D11" s="68">
        <f t="shared" si="12"/>
        <v>4500.5024297343034</v>
      </c>
      <c r="F11" s="57">
        <f t="shared" si="0"/>
        <v>-3.2312054765637144E-2</v>
      </c>
      <c r="H11" s="68">
        <f t="shared" ref="H11:I11" si="13">SUM(H39,H66)</f>
        <v>4833.6082068884034</v>
      </c>
      <c r="I11" s="68">
        <f t="shared" si="13"/>
        <v>4934.1179075863547</v>
      </c>
      <c r="K11" s="57">
        <f t="shared" si="1"/>
        <v>2.0793927930425671E-2</v>
      </c>
      <c r="M11" s="68">
        <f t="shared" ref="M11:N11" si="14">SUM(M39,M66)</f>
        <v>1603.1874735080125</v>
      </c>
      <c r="N11" s="68">
        <f t="shared" si="14"/>
        <v>1668.2856972002528</v>
      </c>
      <c r="P11" s="57">
        <f t="shared" si="2"/>
        <v>4.0605496716984435E-2</v>
      </c>
      <c r="R11" s="68">
        <f t="shared" ref="R11:S11" si="15">SUM(R39,R66)</f>
        <v>9484.3868508698924</v>
      </c>
      <c r="S11" s="68">
        <f t="shared" si="15"/>
        <v>9434.620337320659</v>
      </c>
      <c r="U11" s="57">
        <f t="shared" si="3"/>
        <v>-5.2472040978240875E-3</v>
      </c>
    </row>
    <row r="12" spans="1:22" s="20" customFormat="1" ht="10" x14ac:dyDescent="0.2">
      <c r="A12" s="26"/>
      <c r="B12" s="55" t="s">
        <v>10</v>
      </c>
      <c r="C12" s="67">
        <f t="shared" ref="C12:D12" si="16">SUM(C40,C67)</f>
        <v>990.88450678325137</v>
      </c>
      <c r="D12" s="67">
        <f t="shared" si="16"/>
        <v>1002.7703871931635</v>
      </c>
      <c r="F12" s="28">
        <f t="shared" si="0"/>
        <v>1.1995222781813197E-2</v>
      </c>
      <c r="H12" s="67">
        <f t="shared" ref="H12:I12" si="17">SUM(H40,H67)</f>
        <v>1139.2837003634129</v>
      </c>
      <c r="I12" s="67">
        <f t="shared" si="17"/>
        <v>1076.5110007663479</v>
      </c>
      <c r="K12" s="28">
        <f t="shared" si="1"/>
        <v>-5.5098391714935913E-2</v>
      </c>
      <c r="M12" s="67">
        <f t="shared" ref="M12:N12" si="18">SUM(M40,M67)</f>
        <v>408.87340418572751</v>
      </c>
      <c r="N12" s="67">
        <f t="shared" si="18"/>
        <v>338.28801054769093</v>
      </c>
      <c r="P12" s="28">
        <f t="shared" si="2"/>
        <v>-0.17263385907578799</v>
      </c>
      <c r="R12" s="67">
        <f t="shared" ref="R12:S12" si="19">SUM(R40,R67)</f>
        <v>2130.1682071466644</v>
      </c>
      <c r="S12" s="67">
        <f t="shared" si="19"/>
        <v>2079.2813879595114</v>
      </c>
      <c r="U12" s="28">
        <f t="shared" si="3"/>
        <v>-2.388863894242188E-2</v>
      </c>
      <c r="V12" s="163"/>
    </row>
    <row r="13" spans="1:22" s="20" customFormat="1" ht="10" x14ac:dyDescent="0.2">
      <c r="A13" s="26"/>
      <c r="B13" s="55" t="s">
        <v>4</v>
      </c>
      <c r="C13" s="67">
        <f t="shared" ref="C13:D13" si="20">SUM(C41,C68)</f>
        <v>2447.2204101060165</v>
      </c>
      <c r="D13" s="67">
        <f t="shared" si="20"/>
        <v>2035.2883321503523</v>
      </c>
      <c r="F13" s="28">
        <f t="shared" si="0"/>
        <v>-0.16832651291013823</v>
      </c>
      <c r="H13" s="67">
        <f t="shared" ref="H13:I13" si="21">SUM(H41,H68)</f>
        <v>2365.1965226381485</v>
      </c>
      <c r="I13" s="67">
        <f t="shared" si="21"/>
        <v>2374.870364902843</v>
      </c>
      <c r="K13" s="28">
        <f t="shared" si="1"/>
        <v>4.0900796919420834E-3</v>
      </c>
      <c r="M13" s="67">
        <f t="shared" ref="M13:N13" si="22">SUM(M41,M68)</f>
        <v>758.36638183272862</v>
      </c>
      <c r="N13" s="67">
        <f t="shared" si="22"/>
        <v>850.38310918395086</v>
      </c>
      <c r="P13" s="28">
        <f t="shared" si="2"/>
        <v>0.12133545151203462</v>
      </c>
      <c r="R13" s="67">
        <f t="shared" ref="R13:S13" si="23">SUM(R41,R68)</f>
        <v>4812.416932744165</v>
      </c>
      <c r="S13" s="67">
        <f t="shared" si="23"/>
        <v>4410.1586970531953</v>
      </c>
      <c r="U13" s="28">
        <f t="shared" si="3"/>
        <v>-8.3587569679169804E-2</v>
      </c>
      <c r="V13" s="163"/>
    </row>
    <row r="14" spans="1:22" s="20" customFormat="1" ht="10" x14ac:dyDescent="0.2">
      <c r="A14" s="26"/>
      <c r="B14" s="55" t="s">
        <v>11</v>
      </c>
      <c r="C14" s="67">
        <f t="shared" ref="C14:D14" si="24">SUM(C42,C69)</f>
        <v>905.65049194337178</v>
      </c>
      <c r="D14" s="67">
        <f t="shared" si="24"/>
        <v>1009.5091694683334</v>
      </c>
      <c r="F14" s="28">
        <f t="shared" si="0"/>
        <v>0.11467854150015278</v>
      </c>
      <c r="H14" s="67">
        <f t="shared" ref="H14:I14" si="25">SUM(H42,H69)</f>
        <v>988.97041220372307</v>
      </c>
      <c r="I14" s="67">
        <f t="shared" si="25"/>
        <v>1045.1630671666073</v>
      </c>
      <c r="K14" s="28">
        <f t="shared" si="1"/>
        <v>5.6819348960774452E-2</v>
      </c>
      <c r="M14" s="67">
        <f t="shared" ref="M14:N14" si="26">SUM(M42,M69)</f>
        <v>330.08208549074641</v>
      </c>
      <c r="N14" s="67">
        <f t="shared" si="26"/>
        <v>336.51798492679109</v>
      </c>
      <c r="P14" s="28">
        <f t="shared" si="2"/>
        <v>1.9497875585935409E-2</v>
      </c>
      <c r="R14" s="67">
        <f t="shared" ref="R14:S14" si="27">SUM(R42,R69)</f>
        <v>1894.6209041470947</v>
      </c>
      <c r="S14" s="67">
        <f t="shared" si="27"/>
        <v>2054.6722366349409</v>
      </c>
      <c r="U14" s="28">
        <f t="shared" si="3"/>
        <v>8.4476705676324704E-2</v>
      </c>
      <c r="V14" s="163"/>
    </row>
    <row r="15" spans="1:22" s="20" customFormat="1" ht="10" x14ac:dyDescent="0.2">
      <c r="A15" s="26"/>
      <c r="B15" s="55" t="s">
        <v>6</v>
      </c>
      <c r="C15" s="67">
        <f t="shared" ref="C15:D15" si="28">SUM(C43,C70)</f>
        <v>307.02323514884966</v>
      </c>
      <c r="D15" s="67">
        <f t="shared" si="28"/>
        <v>452.93454092245486</v>
      </c>
      <c r="F15" s="28">
        <f t="shared" si="0"/>
        <v>0.47524515759488084</v>
      </c>
      <c r="H15" s="67">
        <f t="shared" ref="H15:I15" si="29">SUM(H43,H70)</f>
        <v>340.15757168311876</v>
      </c>
      <c r="I15" s="67">
        <f t="shared" si="29"/>
        <v>437.57347475055599</v>
      </c>
      <c r="K15" s="28">
        <f t="shared" si="1"/>
        <v>0.28638463811173698</v>
      </c>
      <c r="M15" s="67">
        <f t="shared" ref="M15:N15" si="30">SUM(M43,M70)</f>
        <v>105.86560199881011</v>
      </c>
      <c r="N15" s="67">
        <f t="shared" si="30"/>
        <v>143.09659254181997</v>
      </c>
      <c r="P15" s="28">
        <f t="shared" si="2"/>
        <v>0.35168165900977288</v>
      </c>
      <c r="R15" s="67">
        <f t="shared" ref="R15:S15" si="31">SUM(R43,R70)</f>
        <v>647.18080683196843</v>
      </c>
      <c r="S15" s="67">
        <f t="shared" si="31"/>
        <v>890.50801567301085</v>
      </c>
      <c r="U15" s="28">
        <f t="shared" si="3"/>
        <v>0.37598026126911854</v>
      </c>
      <c r="V15" s="163"/>
    </row>
    <row r="16" spans="1:22" s="20" customFormat="1" ht="10" x14ac:dyDescent="0.2">
      <c r="A16" s="26"/>
      <c r="B16" s="54" t="s">
        <v>12</v>
      </c>
      <c r="C16" s="67">
        <f t="shared" ref="C16:D16" si="32">SUM(C44,C71)</f>
        <v>229.6320647848415</v>
      </c>
      <c r="D16" s="67">
        <f t="shared" si="32"/>
        <v>194.01428447769885</v>
      </c>
      <c r="F16" s="28">
        <f t="shared" si="0"/>
        <v>-0.15510804355879249</v>
      </c>
      <c r="H16" s="67">
        <f t="shared" ref="H16:I16" si="33">SUM(H44,H71)</f>
        <v>281.24321290580133</v>
      </c>
      <c r="I16" s="67">
        <f t="shared" si="33"/>
        <v>290.47145245590195</v>
      </c>
      <c r="K16" s="28">
        <f t="shared" si="1"/>
        <v>3.281231022343456E-2</v>
      </c>
      <c r="M16" s="67">
        <f t="shared" ref="M16:N16" si="34">SUM(M44,M71)</f>
        <v>101.18407610488805</v>
      </c>
      <c r="N16" s="67">
        <f t="shared" si="34"/>
        <v>73.515064533100059</v>
      </c>
      <c r="P16" s="28">
        <f t="shared" si="2"/>
        <v>-0.27345223316667056</v>
      </c>
      <c r="R16" s="67">
        <f t="shared" ref="R16:S16" si="35">SUM(R44,R71)</f>
        <v>510.87527769064286</v>
      </c>
      <c r="S16" s="67">
        <f t="shared" si="35"/>
        <v>484.48573693360078</v>
      </c>
      <c r="U16" s="28">
        <f t="shared" si="3"/>
        <v>-5.1655544727733149E-2</v>
      </c>
      <c r="V16" s="163"/>
    </row>
    <row r="17" spans="1:21" s="52" customFormat="1" ht="13" x14ac:dyDescent="0.3">
      <c r="A17" s="58"/>
      <c r="B17" s="27" t="s">
        <v>27</v>
      </c>
      <c r="C17" s="66">
        <f t="shared" ref="C17:D17" si="36">SUM(C45,C72)</f>
        <v>5890.5819567401059</v>
      </c>
      <c r="D17" s="66">
        <f t="shared" si="36"/>
        <v>5838.2159667582564</v>
      </c>
      <c r="F17" s="19">
        <f t="shared" si="0"/>
        <v>-8.8897820905337044E-3</v>
      </c>
      <c r="H17" s="66">
        <f t="shared" ref="H17:I17" si="37">SUM(H45,H72)</f>
        <v>6690.0513282250267</v>
      </c>
      <c r="I17" s="66">
        <f t="shared" si="37"/>
        <v>6905.8184145824362</v>
      </c>
      <c r="K17" s="19">
        <f t="shared" si="1"/>
        <v>3.2251932873384348E-2</v>
      </c>
      <c r="M17" s="66">
        <f t="shared" ref="M17:N17" si="38">SUM(M45,M72)</f>
        <v>2362.0765184286902</v>
      </c>
      <c r="N17" s="66">
        <f t="shared" si="38"/>
        <v>2472.5780160693093</v>
      </c>
      <c r="P17" s="19">
        <f t="shared" si="2"/>
        <v>4.678150634769751E-2</v>
      </c>
      <c r="R17" s="66">
        <f t="shared" ref="R17:S17" si="39">SUM(R45,R72)</f>
        <v>12580.633284965133</v>
      </c>
      <c r="S17" s="66">
        <f t="shared" si="39"/>
        <v>12744.034381340693</v>
      </c>
      <c r="U17" s="19">
        <f t="shared" si="3"/>
        <v>1.2988304537167927E-2</v>
      </c>
    </row>
    <row r="18" spans="1:21" s="52" customFormat="1" ht="13" x14ac:dyDescent="0.3">
      <c r="A18" s="58"/>
      <c r="B18" s="29" t="s">
        <v>24</v>
      </c>
      <c r="C18" s="68">
        <f t="shared" ref="C18:D18" si="40">SUM(C46,C73)</f>
        <v>1197.478708228331</v>
      </c>
      <c r="D18" s="68">
        <f t="shared" si="40"/>
        <v>1111.7398139780271</v>
      </c>
      <c r="E18" s="22"/>
      <c r="F18" s="57">
        <f t="shared" si="0"/>
        <v>-7.1599514597762259E-2</v>
      </c>
      <c r="G18" s="22"/>
      <c r="H18" s="68">
        <f t="shared" ref="H18:I18" si="41">SUM(H46,H73)</f>
        <v>1447.4872413243002</v>
      </c>
      <c r="I18" s="68">
        <f t="shared" si="41"/>
        <v>1287.0291561696895</v>
      </c>
      <c r="J18" s="22"/>
      <c r="K18" s="57">
        <f t="shared" si="1"/>
        <v>-0.11085284938871598</v>
      </c>
      <c r="L18" s="22"/>
      <c r="M18" s="68">
        <f t="shared" ref="M18:N18" si="42">SUM(M46,M73)</f>
        <v>508.7922898530075</v>
      </c>
      <c r="N18" s="68">
        <f t="shared" si="42"/>
        <v>511.70441643305321</v>
      </c>
      <c r="O18" s="22"/>
      <c r="P18" s="57">
        <f t="shared" si="2"/>
        <v>5.7236059549703455E-3</v>
      </c>
      <c r="Q18" s="22"/>
      <c r="R18" s="68">
        <f t="shared" ref="R18:S18" si="43">SUM(R46,R73)</f>
        <v>2644.9659495526312</v>
      </c>
      <c r="S18" s="68">
        <f t="shared" si="43"/>
        <v>2398.7689701477166</v>
      </c>
      <c r="T18" s="22"/>
      <c r="U18" s="57">
        <f t="shared" si="3"/>
        <v>-9.3081341726367506E-2</v>
      </c>
    </row>
    <row r="19" spans="1:21" s="52" customFormat="1" ht="13" x14ac:dyDescent="0.3">
      <c r="A19" s="58"/>
      <c r="B19" s="29" t="s">
        <v>23</v>
      </c>
      <c r="C19" s="68">
        <f t="shared" ref="C19:D19" si="44">SUM(C47,C74)</f>
        <v>1322.9767853329747</v>
      </c>
      <c r="D19" s="68">
        <f t="shared" si="44"/>
        <v>1677.1946700699907</v>
      </c>
      <c r="E19" s="22"/>
      <c r="F19" s="57">
        <f t="shared" si="0"/>
        <v>0.26774308412967684</v>
      </c>
      <c r="G19" s="22"/>
      <c r="H19" s="68">
        <f t="shared" ref="H19:I19" si="45">SUM(H47,H74)</f>
        <v>1571.4185850738804</v>
      </c>
      <c r="I19" s="68">
        <f t="shared" si="45"/>
        <v>2150.6052123007594</v>
      </c>
      <c r="J19" s="22"/>
      <c r="K19" s="57">
        <f t="shared" si="1"/>
        <v>0.36857565051621721</v>
      </c>
      <c r="L19" s="22"/>
      <c r="M19" s="68">
        <f t="shared" ref="M19:N19" si="46">SUM(M47,M74)</f>
        <v>543.33615567130664</v>
      </c>
      <c r="N19" s="68">
        <f t="shared" si="46"/>
        <v>809.66771605222914</v>
      </c>
      <c r="O19" s="22"/>
      <c r="P19" s="57">
        <f t="shared" si="2"/>
        <v>0.49017823975263086</v>
      </c>
      <c r="Q19" s="22"/>
      <c r="R19" s="68">
        <f t="shared" ref="R19:S19" si="47">SUM(R47,R74)</f>
        <v>2894.3953704068554</v>
      </c>
      <c r="S19" s="68">
        <f t="shared" si="47"/>
        <v>3827.7998823707503</v>
      </c>
      <c r="T19" s="22"/>
      <c r="U19" s="57">
        <f t="shared" si="3"/>
        <v>0.3224868729086896</v>
      </c>
    </row>
    <row r="20" spans="1:21" s="52" customFormat="1" ht="13" x14ac:dyDescent="0.3">
      <c r="A20" s="58"/>
      <c r="B20" s="29" t="s">
        <v>13</v>
      </c>
      <c r="C20" s="68">
        <f t="shared" ref="C20:D20" si="48">SUM(C48,C75)</f>
        <v>3370.1264631788003</v>
      </c>
      <c r="D20" s="68">
        <f t="shared" si="48"/>
        <v>3049.2814827102388</v>
      </c>
      <c r="E20" s="22"/>
      <c r="F20" s="57">
        <f t="shared" si="0"/>
        <v>-9.5202653067781751E-2</v>
      </c>
      <c r="G20" s="22"/>
      <c r="H20" s="68">
        <f t="shared" ref="H20:I20" si="49">SUM(H48,H75)</f>
        <v>3671.1455018268452</v>
      </c>
      <c r="I20" s="68">
        <f t="shared" si="49"/>
        <v>3468.1840461119864</v>
      </c>
      <c r="J20" s="22"/>
      <c r="K20" s="57">
        <f t="shared" si="1"/>
        <v>-5.5285592906590186E-2</v>
      </c>
      <c r="L20" s="22"/>
      <c r="M20" s="68">
        <f t="shared" ref="M20:N20" si="50">SUM(M48,M75)</f>
        <v>1309.9480729043764</v>
      </c>
      <c r="N20" s="68">
        <f t="shared" si="50"/>
        <v>1151.2058835840271</v>
      </c>
      <c r="O20" s="22"/>
      <c r="P20" s="57">
        <f t="shared" si="2"/>
        <v>-0.12118204729168469</v>
      </c>
      <c r="Q20" s="22"/>
      <c r="R20" s="68">
        <f t="shared" ref="R20:S20" si="51">SUM(R48,R75)</f>
        <v>7041.2719650056461</v>
      </c>
      <c r="S20" s="68">
        <f t="shared" si="51"/>
        <v>6517.4655288222257</v>
      </c>
      <c r="T20" s="22"/>
      <c r="U20" s="57">
        <f t="shared" si="3"/>
        <v>-7.4390882611363618E-2</v>
      </c>
    </row>
    <row r="21" spans="1:21" s="52" customFormat="1" ht="13" x14ac:dyDescent="0.3">
      <c r="A21" s="58"/>
      <c r="B21" s="27" t="s">
        <v>7</v>
      </c>
      <c r="C21" s="66">
        <f t="shared" ref="C21:D21" si="52">SUM(C49,C76)</f>
        <v>208.49174852162429</v>
      </c>
      <c r="D21" s="66">
        <f t="shared" si="52"/>
        <v>265.26790316348234</v>
      </c>
      <c r="F21" s="19">
        <f t="shared" si="0"/>
        <v>0.27231847324628955</v>
      </c>
      <c r="H21" s="66">
        <f t="shared" ref="H21:I21" si="53">SUM(H49,H76)</f>
        <v>240.82525941549741</v>
      </c>
      <c r="I21" s="66">
        <f t="shared" si="53"/>
        <v>329.20590794630908</v>
      </c>
      <c r="K21" s="19">
        <f t="shared" si="1"/>
        <v>0.3669907747439729</v>
      </c>
      <c r="M21" s="66">
        <f t="shared" ref="M21:N21" si="54">SUM(M49,M76)</f>
        <v>79.143250523060146</v>
      </c>
      <c r="N21" s="66">
        <f t="shared" si="54"/>
        <v>108.73627242766355</v>
      </c>
      <c r="P21" s="19">
        <f t="shared" si="2"/>
        <v>0.37391719077776342</v>
      </c>
      <c r="R21" s="66">
        <f t="shared" ref="R21:S21" si="55">SUM(R49,R76)</f>
        <v>449.31700793712173</v>
      </c>
      <c r="S21" s="66">
        <f t="shared" si="55"/>
        <v>594.47381110979143</v>
      </c>
      <c r="U21" s="19">
        <f t="shared" si="3"/>
        <v>0.32306100282983996</v>
      </c>
    </row>
    <row r="22" spans="1:21" s="52" customFormat="1" ht="13" x14ac:dyDescent="0.3">
      <c r="A22" s="58"/>
      <c r="B22" s="27" t="s">
        <v>15</v>
      </c>
      <c r="C22" s="66">
        <f t="shared" ref="C22:D22" si="56">SUM(C50,C77)</f>
        <v>310.26551066203376</v>
      </c>
      <c r="D22" s="66">
        <f t="shared" si="56"/>
        <v>288.29254201550611</v>
      </c>
      <c r="F22" s="19">
        <f t="shared" si="0"/>
        <v>-7.0819887778188706E-2</v>
      </c>
      <c r="H22" s="66">
        <f t="shared" ref="H22:I22" si="57">SUM(H50,H77)</f>
        <v>379.32466072802754</v>
      </c>
      <c r="I22" s="66">
        <f t="shared" si="57"/>
        <v>581.47176809558039</v>
      </c>
      <c r="K22" s="19">
        <f t="shared" si="1"/>
        <v>0.53291316989403592</v>
      </c>
      <c r="M22" s="66">
        <f t="shared" ref="M22:N22" si="58">SUM(M50,M77)</f>
        <v>204.11116100146717</v>
      </c>
      <c r="N22" s="66">
        <f t="shared" si="58"/>
        <v>258.9260061609981</v>
      </c>
      <c r="P22" s="19">
        <f t="shared" si="2"/>
        <v>0.26855388451362994</v>
      </c>
      <c r="R22" s="66">
        <f t="shared" ref="R22:S22" si="59">SUM(R50,R77)</f>
        <v>689.5901713900613</v>
      </c>
      <c r="S22" s="66">
        <f t="shared" si="59"/>
        <v>869.76431011108639</v>
      </c>
      <c r="U22" s="19">
        <f t="shared" si="3"/>
        <v>0.26127712690253957</v>
      </c>
    </row>
    <row r="23" spans="1:21" s="52" customFormat="1" ht="13" x14ac:dyDescent="0.3">
      <c r="A23" s="58"/>
      <c r="B23" s="27" t="s">
        <v>12</v>
      </c>
      <c r="C23" s="66">
        <f t="shared" ref="C23:D23" si="60">SUM(C51,C78)</f>
        <v>124.06570406744483</v>
      </c>
      <c r="D23" s="66">
        <f t="shared" si="60"/>
        <v>114.32204084326317</v>
      </c>
      <c r="F23" s="19">
        <f t="shared" si="0"/>
        <v>-7.8536315071285112E-2</v>
      </c>
      <c r="H23" s="66">
        <f t="shared" ref="H23:I23" si="61">SUM(H51,H78)</f>
        <v>121.00365333363116</v>
      </c>
      <c r="I23" s="66">
        <f t="shared" si="61"/>
        <v>122.9365693804737</v>
      </c>
      <c r="K23" s="19">
        <f t="shared" si="1"/>
        <v>1.5974030482477364E-2</v>
      </c>
      <c r="M23" s="66">
        <f t="shared" ref="M23:N23" si="62">SUM(M51,M78)</f>
        <v>44.947732225143746</v>
      </c>
      <c r="N23" s="66">
        <f t="shared" si="62"/>
        <v>47.549899783709698</v>
      </c>
      <c r="P23" s="19">
        <f t="shared" si="2"/>
        <v>5.7893189038585202E-2</v>
      </c>
      <c r="R23" s="66">
        <f t="shared" ref="R23:S23" si="63">SUM(R51,R78)</f>
        <v>245.06935740107599</v>
      </c>
      <c r="S23" s="66">
        <f t="shared" si="63"/>
        <v>237.25861022373687</v>
      </c>
      <c r="U23" s="19">
        <f t="shared" si="3"/>
        <v>-3.1871578153103042E-2</v>
      </c>
    </row>
    <row r="24" spans="1:21" ht="11.25" customHeight="1" thickBot="1" x14ac:dyDescent="0.3">
      <c r="A24" s="22"/>
      <c r="F24" s="22"/>
      <c r="K24" s="22"/>
      <c r="P24" s="22"/>
      <c r="U24" s="22"/>
    </row>
    <row r="25" spans="1:21" ht="16" thickBot="1" x14ac:dyDescent="0.3">
      <c r="A25" s="30"/>
      <c r="B25" s="31" t="s">
        <v>18</v>
      </c>
      <c r="C25" s="59">
        <f>SUM(C53,C80)</f>
        <v>25772.797658798143</v>
      </c>
      <c r="D25" s="60">
        <f>SUM(D53,D80)</f>
        <v>26209.568749926122</v>
      </c>
      <c r="F25" s="32">
        <f>IF(C25,D25/C25-1,"")</f>
        <v>1.6946980180821747E-2</v>
      </c>
      <c r="H25" s="59">
        <f>SUM(H53,H80)</f>
        <v>27629.35059377912</v>
      </c>
      <c r="I25" s="60">
        <f>SUM(I53,I80)</f>
        <v>30153.251174290774</v>
      </c>
      <c r="K25" s="32">
        <f>IF(H25,I25/H25-1,"")</f>
        <v>9.1348530684609131E-2</v>
      </c>
      <c r="M25" s="59">
        <f>SUM(M53,M80)</f>
        <v>9761.6122601760599</v>
      </c>
      <c r="N25" s="60">
        <f>SUM(N53,N80)</f>
        <v>10656.555944353451</v>
      </c>
      <c r="P25" s="32">
        <f>IF(M25,N25/M25-1,"")</f>
        <v>9.1679904950583424E-2</v>
      </c>
      <c r="R25" s="59">
        <f>SUM(R53,R80)</f>
        <v>53402.148252577266</v>
      </c>
      <c r="S25" s="60">
        <f>SUM(S53,S80)</f>
        <v>56362.819924216878</v>
      </c>
      <c r="U25" s="32">
        <f>IF(R25,S25/R25-1,"")</f>
        <v>5.5441059367807854E-2</v>
      </c>
    </row>
    <row r="26" spans="1:21" ht="6" customHeight="1" thickBot="1" x14ac:dyDescent="0.3">
      <c r="A26" s="33"/>
      <c r="B26" s="34"/>
      <c r="C26" s="35"/>
      <c r="D26" s="35"/>
      <c r="E26" s="36"/>
      <c r="F26" s="33"/>
      <c r="G26" s="36"/>
      <c r="H26" s="35"/>
      <c r="I26" s="35"/>
      <c r="J26" s="36"/>
      <c r="K26" s="33"/>
      <c r="L26" s="36"/>
      <c r="M26" s="35"/>
      <c r="N26" s="35"/>
      <c r="O26" s="36"/>
      <c r="P26" s="33"/>
      <c r="Q26" s="36"/>
      <c r="R26" s="35"/>
      <c r="S26" s="35"/>
      <c r="T26" s="36"/>
      <c r="U26" s="33"/>
    </row>
    <row r="27" spans="1:21" ht="16.5" customHeight="1" thickBot="1" x14ac:dyDescent="0.3">
      <c r="A27" s="22"/>
      <c r="B27" s="31" t="s">
        <v>37</v>
      </c>
      <c r="C27" s="59">
        <f>SUM(C55,C82)</f>
        <v>219.43938182105904</v>
      </c>
      <c r="D27" s="60">
        <f>SUM(D55,D82)</f>
        <v>132.5020783887604</v>
      </c>
      <c r="E27" s="38"/>
      <c r="F27" s="32">
        <f>IF(C27,D27/C27-1,"")</f>
        <v>-0.39617913024924267</v>
      </c>
      <c r="G27" s="38"/>
      <c r="H27" s="59">
        <f>SUM(H55,H82)</f>
        <v>78.388739401615368</v>
      </c>
      <c r="I27" s="60">
        <f>SUM(I55,I82)</f>
        <v>233.11707066343982</v>
      </c>
      <c r="K27" s="32">
        <f>IF(H27,I27/H27-1,"")</f>
        <v>1.9738591594016111</v>
      </c>
      <c r="L27" s="38"/>
      <c r="M27" s="37"/>
      <c r="N27" s="37"/>
      <c r="O27" s="38"/>
      <c r="P27" s="30"/>
      <c r="Q27" s="38"/>
      <c r="R27" s="59">
        <f>SUM(R55,R82)</f>
        <v>297.82812122267438</v>
      </c>
      <c r="S27" s="60">
        <f>SUM(S55,S82)</f>
        <v>365.61914905220021</v>
      </c>
      <c r="U27" s="32">
        <f>IF(R27,S27/R27-1,"")</f>
        <v>0.22761795478285651</v>
      </c>
    </row>
    <row r="28" spans="1:21" ht="6" customHeight="1" thickBot="1" x14ac:dyDescent="0.3">
      <c r="A28" s="33"/>
      <c r="B28" s="39"/>
      <c r="C28" s="37"/>
      <c r="D28" s="37"/>
      <c r="E28" s="38"/>
      <c r="F28" s="40"/>
      <c r="G28" s="38"/>
      <c r="H28" s="37"/>
      <c r="I28" s="37"/>
      <c r="J28" s="38"/>
      <c r="K28" s="40"/>
      <c r="L28" s="38"/>
      <c r="M28" s="37"/>
      <c r="N28" s="37"/>
      <c r="O28" s="38"/>
      <c r="P28" s="40"/>
      <c r="Q28" s="38"/>
      <c r="R28" s="37"/>
      <c r="S28" s="37"/>
      <c r="T28" s="38"/>
      <c r="U28" s="40"/>
    </row>
    <row r="29" spans="1:21" ht="16.5" customHeight="1" thickBot="1" x14ac:dyDescent="0.3">
      <c r="A29" s="22"/>
      <c r="B29" s="31" t="s">
        <v>40</v>
      </c>
      <c r="C29" s="59">
        <f>SUM(C57,C84)</f>
        <v>25992.237040619202</v>
      </c>
      <c r="D29" s="60">
        <f>SUM(D57,D84)</f>
        <v>26342.070828314882</v>
      </c>
      <c r="E29" s="38"/>
      <c r="F29" s="32">
        <f>IF(C29,D29/C29-1,"")</f>
        <v>1.3459164255426703E-2</v>
      </c>
      <c r="G29" s="39"/>
      <c r="H29" s="59">
        <f>SUM(H57,H84)</f>
        <v>27707.739333180736</v>
      </c>
      <c r="I29" s="60">
        <f>SUM(I57,I84)</f>
        <v>30386.368244954214</v>
      </c>
      <c r="K29" s="32">
        <f>IF(H29,I29/H29-1,"")</f>
        <v>9.6674394094856675E-2</v>
      </c>
      <c r="L29" s="38"/>
      <c r="M29" s="37"/>
      <c r="N29" s="37"/>
      <c r="O29" s="38"/>
      <c r="P29" s="30"/>
      <c r="Q29" s="38"/>
      <c r="R29" s="59">
        <f>SUM(R57,R84)</f>
        <v>53699.976373799946</v>
      </c>
      <c r="S29" s="60">
        <f>SUM(S57,S84)</f>
        <v>56728.439073269074</v>
      </c>
      <c r="U29" s="32">
        <f>IF(R29,S29/R29-1,"")</f>
        <v>5.6395978247519407E-2</v>
      </c>
    </row>
    <row r="30" spans="1:21" ht="18" customHeight="1" x14ac:dyDescent="0.25">
      <c r="A30" s="22"/>
      <c r="B30" s="16"/>
      <c r="C30" s="18"/>
      <c r="D30" s="70"/>
      <c r="E30" s="17"/>
      <c r="F30" s="48"/>
      <c r="G30" s="17"/>
      <c r="H30" s="18"/>
      <c r="I30" s="70"/>
      <c r="J30" s="17"/>
      <c r="K30" s="48"/>
      <c r="L30" s="17"/>
      <c r="M30" s="18"/>
      <c r="N30" s="70"/>
      <c r="O30" s="17"/>
      <c r="P30" s="48"/>
      <c r="Q30" s="17"/>
      <c r="R30" s="18"/>
      <c r="S30" s="18"/>
      <c r="T30" s="17"/>
      <c r="U30" s="48"/>
    </row>
    <row r="32" spans="1:21" ht="18" x14ac:dyDescent="0.25">
      <c r="B32" s="21" t="s">
        <v>20</v>
      </c>
    </row>
    <row r="33" spans="1:21" ht="45" customHeight="1" x14ac:dyDescent="0.25">
      <c r="A33" s="23"/>
      <c r="C33" s="170" t="s">
        <v>36</v>
      </c>
      <c r="D33" s="170"/>
      <c r="E33" s="170"/>
      <c r="F33" s="170"/>
      <c r="H33" s="170" t="s">
        <v>80</v>
      </c>
      <c r="I33" s="170"/>
      <c r="J33" s="170"/>
      <c r="K33" s="170"/>
      <c r="M33" s="170" t="s">
        <v>81</v>
      </c>
      <c r="N33" s="170"/>
      <c r="O33" s="170"/>
      <c r="P33" s="170"/>
      <c r="R33" s="170" t="s">
        <v>82</v>
      </c>
      <c r="S33" s="170"/>
      <c r="T33" s="170"/>
      <c r="U33" s="170"/>
    </row>
    <row r="35" spans="1:21" ht="21" x14ac:dyDescent="0.25">
      <c r="A35" s="24"/>
      <c r="C35" s="25" t="s">
        <v>41</v>
      </c>
      <c r="D35" s="25" t="s">
        <v>42</v>
      </c>
      <c r="F35" s="25" t="s">
        <v>83</v>
      </c>
      <c r="H35" s="25" t="s">
        <v>84</v>
      </c>
      <c r="I35" s="25" t="s">
        <v>85</v>
      </c>
      <c r="K35" s="25" t="s">
        <v>86</v>
      </c>
      <c r="M35" s="25" t="s">
        <v>87</v>
      </c>
      <c r="N35" s="25" t="s">
        <v>88</v>
      </c>
      <c r="P35" s="25" t="s">
        <v>89</v>
      </c>
      <c r="R35" s="25" t="s">
        <v>90</v>
      </c>
      <c r="S35" s="25" t="s">
        <v>91</v>
      </c>
      <c r="U35" s="25" t="s">
        <v>92</v>
      </c>
    </row>
    <row r="36" spans="1:21" s="52" customFormat="1" ht="13" x14ac:dyDescent="0.3">
      <c r="A36" s="40"/>
      <c r="B36" s="27" t="s">
        <v>14</v>
      </c>
      <c r="C36" s="66">
        <v>18285.760237191669</v>
      </c>
      <c r="D36" s="66">
        <v>18453.770897240134</v>
      </c>
      <c r="F36" s="53">
        <f t="shared" ref="F36:F51" si="64">IF(C36,D36/C36-1,"")</f>
        <v>9.188059882068611E-3</v>
      </c>
      <c r="H36" s="66">
        <v>18994.576168338244</v>
      </c>
      <c r="I36" s="66">
        <v>20490.520450109958</v>
      </c>
      <c r="K36" s="53">
        <f t="shared" ref="K36:K51" si="65">IF(H36,I36/H36-1,"")</f>
        <v>7.8756391746464871E-2</v>
      </c>
      <c r="M36" s="66">
        <v>6643.0038755029409</v>
      </c>
      <c r="N36" s="66">
        <v>7087.507003306845</v>
      </c>
      <c r="P36" s="53">
        <f t="shared" ref="P36:P51" si="66">IF(M36,N36/M36-1,"")</f>
        <v>6.6912971320560954E-2</v>
      </c>
      <c r="R36" s="66">
        <v>37280.33640552991</v>
      </c>
      <c r="S36" s="66">
        <v>38944.291347350081</v>
      </c>
      <c r="U36" s="53">
        <f t="shared" ref="U36:U51" si="67">IF(R36,S36/R36-1,"")</f>
        <v>4.4633581728445781E-2</v>
      </c>
    </row>
    <row r="37" spans="1:21" s="20" customFormat="1" ht="10" x14ac:dyDescent="0.2">
      <c r="A37" s="26"/>
      <c r="B37" s="54" t="s">
        <v>0</v>
      </c>
      <c r="C37" s="67">
        <v>11836.992653465084</v>
      </c>
      <c r="D37" s="67">
        <v>12331.348598206614</v>
      </c>
      <c r="F37" s="28">
        <f t="shared" si="64"/>
        <v>4.1763643791467242E-2</v>
      </c>
      <c r="H37" s="67">
        <v>12292.557260507161</v>
      </c>
      <c r="I37" s="67">
        <v>13857.548574322269</v>
      </c>
      <c r="K37" s="28">
        <f t="shared" si="65"/>
        <v>0.12731210281549998</v>
      </c>
      <c r="M37" s="67">
        <v>4330.3229167233367</v>
      </c>
      <c r="N37" s="67">
        <v>4851.4788809708371</v>
      </c>
      <c r="P37" s="28">
        <f t="shared" si="66"/>
        <v>0.12035036976915525</v>
      </c>
      <c r="R37" s="67">
        <v>24129.549913972245</v>
      </c>
      <c r="S37" s="67">
        <v>26188.897172528883</v>
      </c>
      <c r="U37" s="28">
        <f t="shared" si="67"/>
        <v>8.534544846044434E-2</v>
      </c>
    </row>
    <row r="38" spans="1:21" s="20" customFormat="1" ht="10" x14ac:dyDescent="0.2">
      <c r="A38" s="26"/>
      <c r="B38" s="54" t="s">
        <v>8</v>
      </c>
      <c r="C38" s="67">
        <v>1912.8602126822309</v>
      </c>
      <c r="D38" s="67">
        <v>1853.2079512817406</v>
      </c>
      <c r="F38" s="28">
        <f t="shared" si="64"/>
        <v>-3.1184851357666798E-2</v>
      </c>
      <c r="H38" s="67">
        <v>1996.1976952639313</v>
      </c>
      <c r="I38" s="67">
        <v>1889.4472840569445</v>
      </c>
      <c r="K38" s="28">
        <f t="shared" si="65"/>
        <v>-5.3476873287779614E-2</v>
      </c>
      <c r="M38" s="67">
        <v>747.47993571483994</v>
      </c>
      <c r="N38" s="67">
        <v>662.22645610042946</v>
      </c>
      <c r="P38" s="28">
        <f t="shared" si="66"/>
        <v>-0.11405453918021191</v>
      </c>
      <c r="R38" s="67">
        <v>3909.0579079461622</v>
      </c>
      <c r="S38" s="67">
        <v>3742.6552353386851</v>
      </c>
      <c r="U38" s="28">
        <f t="shared" si="67"/>
        <v>-4.2568484920425753E-2</v>
      </c>
    </row>
    <row r="39" spans="1:21" x14ac:dyDescent="0.25">
      <c r="A39" s="56"/>
      <c r="B39" s="29" t="s">
        <v>9</v>
      </c>
      <c r="C39" s="68">
        <v>4315.3954056839075</v>
      </c>
      <c r="D39" s="68">
        <v>4081.5882886602058</v>
      </c>
      <c r="F39" s="57">
        <f t="shared" si="64"/>
        <v>-5.4179766868117984E-2</v>
      </c>
      <c r="H39" s="68">
        <v>4432.744086459853</v>
      </c>
      <c r="I39" s="68">
        <v>4471.2127555239449</v>
      </c>
      <c r="K39" s="57">
        <f t="shared" si="65"/>
        <v>8.67829685489796E-3</v>
      </c>
      <c r="M39" s="68">
        <v>1466.3011058056359</v>
      </c>
      <c r="N39" s="68">
        <v>1507.6023962029658</v>
      </c>
      <c r="P39" s="57">
        <f t="shared" si="66"/>
        <v>2.816699123652211E-2</v>
      </c>
      <c r="R39" s="68">
        <v>8748.1394921437604</v>
      </c>
      <c r="S39" s="68">
        <v>8552.8010441841507</v>
      </c>
      <c r="U39" s="57">
        <f t="shared" si="67"/>
        <v>-2.2329141886115678E-2</v>
      </c>
    </row>
    <row r="40" spans="1:21" s="20" customFormat="1" ht="10" x14ac:dyDescent="0.2">
      <c r="A40" s="26"/>
      <c r="B40" s="55" t="s">
        <v>10</v>
      </c>
      <c r="C40" s="67">
        <v>957.23071712006833</v>
      </c>
      <c r="D40" s="67">
        <v>954.49987870898303</v>
      </c>
      <c r="F40" s="28">
        <f t="shared" si="64"/>
        <v>-2.8528528830554789E-3</v>
      </c>
      <c r="H40" s="67">
        <v>1066.0245120155628</v>
      </c>
      <c r="I40" s="67">
        <v>1003.8026518775328</v>
      </c>
      <c r="K40" s="28">
        <f t="shared" si="65"/>
        <v>-5.8368132661776539E-2</v>
      </c>
      <c r="M40" s="67">
        <v>376.33869685015065</v>
      </c>
      <c r="N40" s="67">
        <v>305.78805327137502</v>
      </c>
      <c r="P40" s="28">
        <f t="shared" si="66"/>
        <v>-0.18746582312492643</v>
      </c>
      <c r="R40" s="67">
        <v>2023.2552291356312</v>
      </c>
      <c r="S40" s="67">
        <v>1958.3025305865158</v>
      </c>
      <c r="U40" s="28">
        <f t="shared" si="67"/>
        <v>-3.2103067182910117E-2</v>
      </c>
    </row>
    <row r="41" spans="1:21" s="20" customFormat="1" ht="10" x14ac:dyDescent="0.2">
      <c r="A41" s="26"/>
      <c r="B41" s="55" t="s">
        <v>4</v>
      </c>
      <c r="C41" s="67">
        <v>2233.2036778811894</v>
      </c>
      <c r="D41" s="67">
        <v>1805.1815664952949</v>
      </c>
      <c r="F41" s="28">
        <f t="shared" si="64"/>
        <v>-0.1916628185889393</v>
      </c>
      <c r="H41" s="67">
        <v>2136.1414547588515</v>
      </c>
      <c r="I41" s="67">
        <v>2125.7559150792431</v>
      </c>
      <c r="K41" s="28">
        <f t="shared" si="65"/>
        <v>-4.86182207478425E-3</v>
      </c>
      <c r="M41" s="67">
        <v>689.06745854535166</v>
      </c>
      <c r="N41" s="67">
        <v>770.4239023920104</v>
      </c>
      <c r="P41" s="28">
        <f t="shared" si="66"/>
        <v>0.11806745890802239</v>
      </c>
      <c r="R41" s="67">
        <v>4369.3451326400409</v>
      </c>
      <c r="S41" s="67">
        <v>3930.9374815745377</v>
      </c>
      <c r="U41" s="28">
        <f t="shared" si="67"/>
        <v>-0.10033715299587909</v>
      </c>
    </row>
    <row r="42" spans="1:21" s="20" customFormat="1" ht="10" x14ac:dyDescent="0.2">
      <c r="A42" s="26"/>
      <c r="B42" s="55" t="s">
        <v>11</v>
      </c>
      <c r="C42" s="67">
        <v>826.21848194647885</v>
      </c>
      <c r="D42" s="67">
        <v>903.18723248756146</v>
      </c>
      <c r="F42" s="28">
        <f t="shared" si="64"/>
        <v>9.3157865894929914E-2</v>
      </c>
      <c r="H42" s="67">
        <v>896.24554675836782</v>
      </c>
      <c r="I42" s="67">
        <v>948.5111386464705</v>
      </c>
      <c r="K42" s="28">
        <f t="shared" si="65"/>
        <v>5.8316152395001764E-2</v>
      </c>
      <c r="M42" s="67">
        <v>298.67226614500328</v>
      </c>
      <c r="N42" s="67">
        <v>304.45835712151006</v>
      </c>
      <c r="P42" s="28">
        <f t="shared" si="66"/>
        <v>1.9372709261521015E-2</v>
      </c>
      <c r="R42" s="67">
        <v>1722.4640287048467</v>
      </c>
      <c r="S42" s="67">
        <v>1851.698371134032</v>
      </c>
      <c r="U42" s="28">
        <f t="shared" si="67"/>
        <v>7.5028761283542744E-2</v>
      </c>
    </row>
    <row r="43" spans="1:21" s="20" customFormat="1" ht="10" x14ac:dyDescent="0.2">
      <c r="A43" s="26"/>
      <c r="B43" s="55" t="s">
        <v>6</v>
      </c>
      <c r="C43" s="67">
        <v>298.7425287361711</v>
      </c>
      <c r="D43" s="67">
        <v>418.71961096836662</v>
      </c>
      <c r="F43" s="28">
        <f t="shared" si="64"/>
        <v>0.40160697152748237</v>
      </c>
      <c r="H43" s="67">
        <v>334.33257292707077</v>
      </c>
      <c r="I43" s="67">
        <v>393.14304992069845</v>
      </c>
      <c r="K43" s="28">
        <f t="shared" si="65"/>
        <v>0.1759041198969753</v>
      </c>
      <c r="M43" s="67">
        <v>102.2226842651304</v>
      </c>
      <c r="N43" s="67">
        <v>126.93208341807042</v>
      </c>
      <c r="P43" s="28">
        <f t="shared" si="66"/>
        <v>0.24172129044129154</v>
      </c>
      <c r="R43" s="67">
        <v>633.07510166324187</v>
      </c>
      <c r="S43" s="67">
        <v>811.86266088906507</v>
      </c>
      <c r="U43" s="28">
        <f t="shared" si="67"/>
        <v>0.28241129489393102</v>
      </c>
    </row>
    <row r="44" spans="1:21" s="20" customFormat="1" ht="10" x14ac:dyDescent="0.2">
      <c r="A44" s="26"/>
      <c r="B44" s="54" t="s">
        <v>12</v>
      </c>
      <c r="C44" s="67">
        <v>220.51196536044708</v>
      </c>
      <c r="D44" s="67">
        <v>187.62605909157199</v>
      </c>
      <c r="F44" s="28">
        <f t="shared" si="64"/>
        <v>-0.14913433933219933</v>
      </c>
      <c r="H44" s="67">
        <v>273.07712610729845</v>
      </c>
      <c r="I44" s="67">
        <v>272.31183620679803</v>
      </c>
      <c r="K44" s="28">
        <f t="shared" si="65"/>
        <v>-2.8024679745594083E-3</v>
      </c>
      <c r="M44" s="67">
        <v>98.899917259127108</v>
      </c>
      <c r="N44" s="67">
        <v>66.199270032613128</v>
      </c>
      <c r="P44" s="28">
        <f t="shared" si="66"/>
        <v>-0.33064382795018121</v>
      </c>
      <c r="R44" s="67">
        <v>493.58909146774556</v>
      </c>
      <c r="S44" s="67">
        <v>459.93789529836999</v>
      </c>
      <c r="U44" s="28">
        <f t="shared" si="67"/>
        <v>-6.8176539455743979E-2</v>
      </c>
    </row>
    <row r="45" spans="1:21" s="52" customFormat="1" ht="13" x14ac:dyDescent="0.3">
      <c r="A45" s="58"/>
      <c r="B45" s="27" t="s">
        <v>27</v>
      </c>
      <c r="C45" s="66">
        <v>4081.0139294559481</v>
      </c>
      <c r="D45" s="66">
        <v>3638.0439597862187</v>
      </c>
      <c r="F45" s="19">
        <f t="shared" si="64"/>
        <v>-0.1085440964737856</v>
      </c>
      <c r="H45" s="66">
        <v>4501.8459172029397</v>
      </c>
      <c r="I45" s="66">
        <v>4137.2206587487699</v>
      </c>
      <c r="K45" s="19">
        <f t="shared" si="65"/>
        <v>-8.0994610913008969E-2</v>
      </c>
      <c r="M45" s="66">
        <v>1595.3541923144658</v>
      </c>
      <c r="N45" s="66">
        <v>1367.3321857127685</v>
      </c>
      <c r="P45" s="19">
        <f t="shared" si="66"/>
        <v>-0.14292876635181151</v>
      </c>
      <c r="R45" s="66">
        <v>8582.8598466588883</v>
      </c>
      <c r="S45" s="66">
        <v>7775.2646185349886</v>
      </c>
      <c r="U45" s="19">
        <f t="shared" si="67"/>
        <v>-9.409395499313411E-2</v>
      </c>
    </row>
    <row r="46" spans="1:21" s="52" customFormat="1" ht="13" x14ac:dyDescent="0.3">
      <c r="A46" s="58"/>
      <c r="B46" s="29" t="s">
        <v>24</v>
      </c>
      <c r="C46" s="68">
        <v>976.53230539149149</v>
      </c>
      <c r="D46" s="68">
        <v>962.40156284154409</v>
      </c>
      <c r="E46" s="22"/>
      <c r="F46" s="57">
        <f t="shared" si="64"/>
        <v>-1.4470327783249748E-2</v>
      </c>
      <c r="G46" s="22"/>
      <c r="H46" s="68">
        <v>1178.3021843087797</v>
      </c>
      <c r="I46" s="68">
        <v>1054.8973721535135</v>
      </c>
      <c r="J46" s="22"/>
      <c r="K46" s="57">
        <f t="shared" si="65"/>
        <v>-0.10473103911596193</v>
      </c>
      <c r="L46" s="22"/>
      <c r="M46" s="68">
        <v>407.10890745681127</v>
      </c>
      <c r="N46" s="68">
        <v>380.92172704715131</v>
      </c>
      <c r="O46" s="22"/>
      <c r="P46" s="57">
        <f t="shared" si="66"/>
        <v>-6.4324754211962487E-2</v>
      </c>
      <c r="Q46" s="22"/>
      <c r="R46" s="68">
        <v>2154.8344897002712</v>
      </c>
      <c r="S46" s="68">
        <v>2017.2989349950576</v>
      </c>
      <c r="T46" s="22"/>
      <c r="U46" s="57">
        <f t="shared" si="67"/>
        <v>-6.382650517364985E-2</v>
      </c>
    </row>
    <row r="47" spans="1:21" s="52" customFormat="1" ht="13" x14ac:dyDescent="0.3">
      <c r="A47" s="58"/>
      <c r="B47" s="29" t="s">
        <v>23</v>
      </c>
      <c r="C47" s="68">
        <v>349.40773725316404</v>
      </c>
      <c r="D47" s="68">
        <v>270.55063899862984</v>
      </c>
      <c r="E47" s="22"/>
      <c r="F47" s="57">
        <f t="shared" si="64"/>
        <v>-0.22568789939931455</v>
      </c>
      <c r="G47" s="22"/>
      <c r="H47" s="68">
        <v>353.41539376796396</v>
      </c>
      <c r="I47" s="68">
        <v>365.77972628594699</v>
      </c>
      <c r="J47" s="22"/>
      <c r="K47" s="57">
        <f t="shared" si="65"/>
        <v>3.4985268712151463E-2</v>
      </c>
      <c r="L47" s="22"/>
      <c r="M47" s="68">
        <v>113.15300627626766</v>
      </c>
      <c r="N47" s="68">
        <v>122.48645786518648</v>
      </c>
      <c r="O47" s="22"/>
      <c r="P47" s="57">
        <f t="shared" si="66"/>
        <v>8.2485228595083226E-2</v>
      </c>
      <c r="Q47" s="22"/>
      <c r="R47" s="68">
        <v>702.82313102112801</v>
      </c>
      <c r="S47" s="68">
        <v>636.33036528457683</v>
      </c>
      <c r="T47" s="22"/>
      <c r="U47" s="57">
        <f t="shared" si="67"/>
        <v>-9.4608106651163038E-2</v>
      </c>
    </row>
    <row r="48" spans="1:21" s="52" customFormat="1" ht="13" x14ac:dyDescent="0.3">
      <c r="A48" s="58"/>
      <c r="B48" s="29" t="s">
        <v>13</v>
      </c>
      <c r="C48" s="68">
        <v>2755.0738868112926</v>
      </c>
      <c r="D48" s="68">
        <v>2405.0917579460447</v>
      </c>
      <c r="E48" s="22"/>
      <c r="F48" s="57">
        <f t="shared" si="64"/>
        <v>-0.12703184859783023</v>
      </c>
      <c r="G48" s="22"/>
      <c r="H48" s="68">
        <v>2970.1283391261959</v>
      </c>
      <c r="I48" s="68">
        <v>2716.5435603093092</v>
      </c>
      <c r="J48" s="22"/>
      <c r="K48" s="57">
        <f t="shared" si="65"/>
        <v>-8.5378391053462233E-2</v>
      </c>
      <c r="L48" s="22"/>
      <c r="M48" s="68">
        <v>1075.0922785813873</v>
      </c>
      <c r="N48" s="68">
        <v>863.9240008004308</v>
      </c>
      <c r="O48" s="22"/>
      <c r="P48" s="57">
        <f t="shared" si="66"/>
        <v>-0.19641874654666724</v>
      </c>
      <c r="Q48" s="22"/>
      <c r="R48" s="68">
        <v>5725.2022259374889</v>
      </c>
      <c r="S48" s="68">
        <v>5121.6353182553539</v>
      </c>
      <c r="T48" s="22"/>
      <c r="U48" s="57">
        <f t="shared" si="67"/>
        <v>-0.10542281021056898</v>
      </c>
    </row>
    <row r="49" spans="1:21" s="52" customFormat="1" ht="13" x14ac:dyDescent="0.3">
      <c r="A49" s="58"/>
      <c r="B49" s="27" t="s">
        <v>7</v>
      </c>
      <c r="C49" s="66">
        <v>173.45318043394064</v>
      </c>
      <c r="D49" s="66">
        <v>225.58193473798104</v>
      </c>
      <c r="F49" s="19">
        <f t="shared" si="64"/>
        <v>0.3005350156948754</v>
      </c>
      <c r="H49" s="66">
        <v>208.51293400336095</v>
      </c>
      <c r="I49" s="66">
        <v>260.32672611897806</v>
      </c>
      <c r="K49" s="19">
        <f t="shared" si="65"/>
        <v>0.24849198138846362</v>
      </c>
      <c r="M49" s="66">
        <v>67.849361227722397</v>
      </c>
      <c r="N49" s="66">
        <v>89.074983727119445</v>
      </c>
      <c r="P49" s="19">
        <f t="shared" si="66"/>
        <v>0.31283452217269403</v>
      </c>
      <c r="R49" s="66">
        <v>381.9661144373016</v>
      </c>
      <c r="S49" s="66">
        <v>485.9086608569591</v>
      </c>
      <c r="U49" s="19">
        <f t="shared" si="67"/>
        <v>0.27212504588995245</v>
      </c>
    </row>
    <row r="50" spans="1:21" s="52" customFormat="1" ht="13" x14ac:dyDescent="0.3">
      <c r="A50" s="58"/>
      <c r="B50" s="27" t="s">
        <v>15</v>
      </c>
      <c r="C50" s="66">
        <v>283.53174390919253</v>
      </c>
      <c r="D50" s="66">
        <v>263.87137691723223</v>
      </c>
      <c r="F50" s="19">
        <f t="shared" si="64"/>
        <v>-6.9340972974994197E-2</v>
      </c>
      <c r="H50" s="66">
        <v>332.42864221307298</v>
      </c>
      <c r="I50" s="66">
        <v>515.65046819555459</v>
      </c>
      <c r="K50" s="19">
        <f t="shared" si="65"/>
        <v>0.55116137034017676</v>
      </c>
      <c r="M50" s="66">
        <v>198.92313174109967</v>
      </c>
      <c r="N50" s="66">
        <v>253.67086607264469</v>
      </c>
      <c r="P50" s="19">
        <f t="shared" si="66"/>
        <v>0.27522055304658943</v>
      </c>
      <c r="R50" s="66">
        <v>615.9603861222655</v>
      </c>
      <c r="S50" s="66">
        <v>779.52184511278676</v>
      </c>
      <c r="U50" s="19">
        <f t="shared" si="67"/>
        <v>0.26553892535234391</v>
      </c>
    </row>
    <row r="51" spans="1:21" s="52" customFormat="1" ht="13" x14ac:dyDescent="0.3">
      <c r="A51" s="58"/>
      <c r="B51" s="27" t="s">
        <v>12</v>
      </c>
      <c r="C51" s="66">
        <v>111.12099391783011</v>
      </c>
      <c r="D51" s="66">
        <v>101.48344686247539</v>
      </c>
      <c r="F51" s="19">
        <f t="shared" si="64"/>
        <v>-8.6730209257139368E-2</v>
      </c>
      <c r="H51" s="66">
        <v>116.13168768678315</v>
      </c>
      <c r="I51" s="66">
        <v>105.72487935213222</v>
      </c>
      <c r="K51" s="19">
        <f t="shared" si="65"/>
        <v>-8.9612133793482429E-2</v>
      </c>
      <c r="M51" s="66">
        <v>43.300117832266835</v>
      </c>
      <c r="N51" s="66">
        <v>42.28362661040677</v>
      </c>
      <c r="P51" s="19">
        <f t="shared" si="66"/>
        <v>-2.347548396514032E-2</v>
      </c>
      <c r="R51" s="66">
        <v>227.25268160461326</v>
      </c>
      <c r="S51" s="66">
        <v>207.20832621460761</v>
      </c>
      <c r="U51" s="19">
        <f t="shared" si="67"/>
        <v>-8.8202943298508196E-2</v>
      </c>
    </row>
    <row r="52" spans="1:21" ht="11.25" customHeight="1" thickBot="1" x14ac:dyDescent="0.3">
      <c r="A52" s="22"/>
      <c r="F52" s="22"/>
      <c r="K52" s="22"/>
      <c r="P52" s="22"/>
      <c r="U52" s="22"/>
    </row>
    <row r="53" spans="1:21" ht="16" thickBot="1" x14ac:dyDescent="0.3">
      <c r="A53" s="30"/>
      <c r="B53" s="31" t="s">
        <v>16</v>
      </c>
      <c r="C53" s="59">
        <v>22934.880084908582</v>
      </c>
      <c r="D53" s="60">
        <v>22682.751615544039</v>
      </c>
      <c r="F53" s="32">
        <f>IF(C53,D53/C53-1,"")</f>
        <v>-1.0993232510094764E-2</v>
      </c>
      <c r="H53" s="59">
        <v>24153.495349444398</v>
      </c>
      <c r="I53" s="60">
        <v>25509.443182525396</v>
      </c>
      <c r="K53" s="32">
        <f>IF(H53,I53/H53-1,"")</f>
        <v>5.6138782957233069E-2</v>
      </c>
      <c r="M53" s="59">
        <v>8548.4306786184952</v>
      </c>
      <c r="N53" s="60">
        <v>8839.8686654297853</v>
      </c>
      <c r="P53" s="32">
        <f>IF(M53,N53/M53-1,"")</f>
        <v>3.4092571814408057E-2</v>
      </c>
      <c r="R53" s="59">
        <v>47088.37543435298</v>
      </c>
      <c r="S53" s="60">
        <v>48192.194798069417</v>
      </c>
      <c r="U53" s="32">
        <f>IF(R53,S53/R53-1,"")</f>
        <v>2.344144077035093E-2</v>
      </c>
    </row>
    <row r="54" spans="1:21" ht="6" customHeight="1" thickBot="1" x14ac:dyDescent="0.3">
      <c r="A54" s="33"/>
      <c r="B54" s="34"/>
      <c r="C54" s="35"/>
      <c r="D54" s="35"/>
      <c r="E54" s="36"/>
      <c r="F54" s="33"/>
      <c r="G54" s="36"/>
      <c r="H54" s="35"/>
      <c r="I54" s="35"/>
      <c r="J54" s="36"/>
      <c r="K54" s="33"/>
      <c r="L54" s="36"/>
      <c r="M54" s="35"/>
      <c r="N54" s="35"/>
      <c r="O54" s="36"/>
      <c r="P54" s="33"/>
      <c r="Q54" s="36"/>
      <c r="R54" s="35"/>
      <c r="S54" s="35"/>
      <c r="T54" s="36"/>
      <c r="U54" s="33"/>
    </row>
    <row r="55" spans="1:21" ht="16.5" customHeight="1" thickBot="1" x14ac:dyDescent="0.3">
      <c r="A55" s="22"/>
      <c r="B55" s="31" t="s">
        <v>37</v>
      </c>
      <c r="C55" s="59">
        <v>212.72558817777775</v>
      </c>
      <c r="D55" s="60">
        <v>118.40734862222222</v>
      </c>
      <c r="E55" s="38"/>
      <c r="F55" s="32">
        <f>IF(C55,D55/C55-1,"")</f>
        <v>-0.44337985083737297</v>
      </c>
      <c r="G55" s="38"/>
      <c r="H55" s="59">
        <v>72.114831666666703</v>
      </c>
      <c r="I55" s="60">
        <v>216.34087106262888</v>
      </c>
      <c r="K55" s="32">
        <f>IF(H55,I55/H55-1,"")</f>
        <v>1.9999497476831398</v>
      </c>
      <c r="L55" s="38"/>
      <c r="M55" s="37"/>
      <c r="N55" s="37"/>
      <c r="O55" s="38"/>
      <c r="P55" s="30"/>
      <c r="Q55" s="38"/>
      <c r="R55" s="59">
        <v>284.84041984444445</v>
      </c>
      <c r="S55" s="60">
        <v>334.74821968485111</v>
      </c>
      <c r="U55" s="32">
        <f>IF(R55,S55/R55-1,"")</f>
        <v>0.17521319434812677</v>
      </c>
    </row>
    <row r="56" spans="1:21" ht="6" customHeight="1" thickBot="1" x14ac:dyDescent="0.3">
      <c r="A56" s="33"/>
      <c r="B56" s="39"/>
      <c r="C56" s="37"/>
      <c r="D56" s="37"/>
      <c r="E56" s="38"/>
      <c r="F56" s="40"/>
      <c r="G56" s="38"/>
      <c r="H56" s="37"/>
      <c r="I56" s="37"/>
      <c r="J56" s="38"/>
      <c r="K56" s="40"/>
      <c r="L56" s="38"/>
      <c r="M56" s="37"/>
      <c r="N56" s="37"/>
      <c r="O56" s="38"/>
      <c r="P56" s="40"/>
      <c r="Q56" s="38"/>
      <c r="R56" s="37"/>
      <c r="S56" s="37"/>
      <c r="T56" s="38"/>
      <c r="U56" s="40"/>
    </row>
    <row r="57" spans="1:21" ht="16.5" customHeight="1" collapsed="1" thickBot="1" x14ac:dyDescent="0.3">
      <c r="A57" s="22"/>
      <c r="B57" s="31" t="s">
        <v>38</v>
      </c>
      <c r="C57" s="59">
        <v>23147.60567308636</v>
      </c>
      <c r="D57" s="60">
        <v>22801.158964166261</v>
      </c>
      <c r="E57" s="38"/>
      <c r="F57" s="32">
        <f>IF(C57,D57/C57-1,"")</f>
        <v>-1.4966848572287139E-2</v>
      </c>
      <c r="G57" s="39"/>
      <c r="H57" s="59">
        <v>24225.610181111064</v>
      </c>
      <c r="I57" s="59">
        <v>25725.784053588024</v>
      </c>
      <c r="K57" s="32">
        <f>IF(H57,I57/H57-1,"")</f>
        <v>6.1925122267783461E-2</v>
      </c>
      <c r="L57" s="38"/>
      <c r="M57" s="37"/>
      <c r="N57" s="37"/>
      <c r="O57" s="38"/>
      <c r="P57" s="30"/>
      <c r="Q57" s="38"/>
      <c r="R57" s="59">
        <v>47373.215854197428</v>
      </c>
      <c r="S57" s="60">
        <v>48526.943017754267</v>
      </c>
      <c r="U57" s="32">
        <f>IF(R57,S57/R57-1,"")</f>
        <v>2.4353997142767758E-2</v>
      </c>
    </row>
    <row r="58" spans="1:21" ht="18" customHeight="1" x14ac:dyDescent="0.25">
      <c r="A58" s="22"/>
      <c r="B58" s="41"/>
      <c r="C58" s="42"/>
      <c r="D58" s="43"/>
      <c r="F58" s="44"/>
      <c r="H58" s="42"/>
      <c r="I58" s="43"/>
      <c r="K58" s="44"/>
      <c r="M58" s="42"/>
      <c r="N58" s="43"/>
      <c r="P58" s="44"/>
      <c r="R58" s="42"/>
      <c r="S58" s="43"/>
      <c r="U58" s="44"/>
    </row>
    <row r="60" spans="1:21" ht="18" x14ac:dyDescent="0.25">
      <c r="B60" s="21" t="s">
        <v>21</v>
      </c>
    </row>
    <row r="61" spans="1:21" ht="45" customHeight="1" x14ac:dyDescent="0.25">
      <c r="A61" s="23"/>
      <c r="C61" s="170" t="str">
        <f>C$33</f>
        <v>I-III 2025 vs I-III 2024</v>
      </c>
      <c r="D61" s="170"/>
      <c r="E61" s="170"/>
      <c r="F61" s="170"/>
      <c r="H61" s="170" t="str">
        <f>H$33</f>
        <v>IV-VI 2025 vs IV-VI 2024</v>
      </c>
      <c r="I61" s="170"/>
      <c r="J61" s="170"/>
      <c r="K61" s="170"/>
      <c r="M61" s="170" t="str">
        <f>M$33</f>
        <v>VI 2025 vs VI 2024</v>
      </c>
      <c r="N61" s="170"/>
      <c r="O61" s="170"/>
      <c r="P61" s="170"/>
      <c r="R61" s="170" t="str">
        <f>R$33</f>
        <v>I-VI 2025 vs I-VI 2024</v>
      </c>
      <c r="S61" s="170"/>
      <c r="T61" s="170"/>
      <c r="U61" s="170"/>
    </row>
    <row r="62" spans="1:21" ht="21" x14ac:dyDescent="0.25">
      <c r="A62" s="24"/>
      <c r="C62" s="25" t="str">
        <f>C$35</f>
        <v>I-III 2024</v>
      </c>
      <c r="D62" s="25" t="str">
        <f>D$35</f>
        <v>I-III 2025</v>
      </c>
      <c r="F62" s="25" t="str">
        <f>F$35</f>
        <v>I-III 25/
I-III 24</v>
      </c>
      <c r="H62" s="25" t="str">
        <f>H$35</f>
        <v>IV-VI 2024</v>
      </c>
      <c r="I62" s="25" t="str">
        <f>I$35</f>
        <v>IV-VI 2025</v>
      </c>
      <c r="K62" s="25" t="str">
        <f>K$35</f>
        <v>IV-VI 2025/
IV-VI 2024</v>
      </c>
      <c r="M62" s="25" t="str">
        <f>M$35</f>
        <v>VI 2024</v>
      </c>
      <c r="N62" s="25" t="str">
        <f>N$35</f>
        <v>VI 2025</v>
      </c>
      <c r="P62" s="25" t="str">
        <f>P$35</f>
        <v>VI 25 / 
VI 24</v>
      </c>
      <c r="R62" s="25" t="str">
        <f>R$35</f>
        <v>I-VI 2024</v>
      </c>
      <c r="S62" s="25" t="str">
        <f>S$35</f>
        <v>I-VI 2025</v>
      </c>
      <c r="U62" s="25" t="str">
        <f>U$35</f>
        <v>I-VI 25/
I-VI 24</v>
      </c>
    </row>
    <row r="63" spans="1:21" s="52" customFormat="1" ht="13" x14ac:dyDescent="0.3">
      <c r="A63" s="40"/>
      <c r="B63" s="27" t="s">
        <v>14</v>
      </c>
      <c r="C63" s="66">
        <v>953.63250161526389</v>
      </c>
      <c r="D63" s="66">
        <v>1249.699399905481</v>
      </c>
      <c r="F63" s="53">
        <f t="shared" ref="F63:F78" si="68">IF(C63,D63/C63-1,"")</f>
        <v>0.31046225646539805</v>
      </c>
      <c r="H63" s="66">
        <v>1203.5695237386981</v>
      </c>
      <c r="I63" s="66">
        <v>1723.2980641760125</v>
      </c>
      <c r="K63" s="53">
        <f t="shared" ref="K63:K78" si="69">IF(H63,I63/H63-1,"")</f>
        <v>0.43182261613177109</v>
      </c>
      <c r="M63" s="66">
        <v>428.32972249475785</v>
      </c>
      <c r="N63" s="66">
        <v>681.258746604924</v>
      </c>
      <c r="P63" s="53">
        <f t="shared" ref="P63:P78" si="70">IF(M63,N63/M63-1,"")</f>
        <v>0.59050075403829028</v>
      </c>
      <c r="R63" s="66">
        <v>2157.2020253539622</v>
      </c>
      <c r="S63" s="66">
        <v>2972.997464081493</v>
      </c>
      <c r="U63" s="53">
        <f t="shared" ref="U63:U78" si="71">IF(R63,S63/R63-1,"")</f>
        <v>0.37817294307132499</v>
      </c>
    </row>
    <row r="64" spans="1:21" s="20" customFormat="1" ht="10" x14ac:dyDescent="0.2">
      <c r="A64" s="26"/>
      <c r="B64" s="54" t="s">
        <v>0</v>
      </c>
      <c r="C64" s="67">
        <v>502.26329726597362</v>
      </c>
      <c r="D64" s="67">
        <v>720.60166637480359</v>
      </c>
      <c r="F64" s="28">
        <f t="shared" si="68"/>
        <v>0.43470898689459458</v>
      </c>
      <c r="H64" s="67">
        <v>684.51177797518847</v>
      </c>
      <c r="I64" s="67">
        <v>1157.8295686933152</v>
      </c>
      <c r="K64" s="28">
        <f t="shared" si="69"/>
        <v>0.69146770873427266</v>
      </c>
      <c r="M64" s="67">
        <v>250.21088721202625</v>
      </c>
      <c r="N64" s="67">
        <v>476.34141113695796</v>
      </c>
      <c r="P64" s="28">
        <f t="shared" si="70"/>
        <v>0.90375973022033573</v>
      </c>
      <c r="R64" s="67">
        <v>1186.7750752411621</v>
      </c>
      <c r="S64" s="67">
        <v>1878.4312350681187</v>
      </c>
      <c r="U64" s="28">
        <f t="shared" si="71"/>
        <v>0.58280307217136884</v>
      </c>
    </row>
    <row r="65" spans="1:21" s="20" customFormat="1" ht="10" x14ac:dyDescent="0.2">
      <c r="A65" s="26"/>
      <c r="B65" s="54" t="s">
        <v>8</v>
      </c>
      <c r="C65" s="67">
        <v>106.8658666273144</v>
      </c>
      <c r="D65" s="67">
        <v>103.79536707045233</v>
      </c>
      <c r="F65" s="28">
        <f t="shared" si="68"/>
        <v>-2.8732275831067522E-2</v>
      </c>
      <c r="H65" s="67">
        <v>110.02753853645646</v>
      </c>
      <c r="I65" s="67">
        <v>84.40372717118376</v>
      </c>
      <c r="K65" s="28">
        <f t="shared" si="69"/>
        <v>-0.23288543673802642</v>
      </c>
      <c r="M65" s="67">
        <v>38.948308734594093</v>
      </c>
      <c r="N65" s="67">
        <v>36.918239970192047</v>
      </c>
      <c r="P65" s="28">
        <f t="shared" si="70"/>
        <v>-5.2122128799881096E-2</v>
      </c>
      <c r="R65" s="67">
        <v>216.89340516377086</v>
      </c>
      <c r="S65" s="67">
        <v>188.19909424163609</v>
      </c>
      <c r="U65" s="28">
        <f t="shared" si="71"/>
        <v>-0.13229683447714058</v>
      </c>
    </row>
    <row r="66" spans="1:21" x14ac:dyDescent="0.25">
      <c r="A66" s="56"/>
      <c r="B66" s="29" t="s">
        <v>9</v>
      </c>
      <c r="C66" s="68">
        <v>335.38323829758139</v>
      </c>
      <c r="D66" s="68">
        <v>418.91414107409798</v>
      </c>
      <c r="F66" s="57">
        <f t="shared" si="68"/>
        <v>0.24906105385744004</v>
      </c>
      <c r="H66" s="68">
        <v>400.86412042855011</v>
      </c>
      <c r="I66" s="68">
        <v>462.90515206240946</v>
      </c>
      <c r="K66" s="57">
        <f t="shared" si="69"/>
        <v>0.15476823310485699</v>
      </c>
      <c r="M66" s="68">
        <v>136.88636770237659</v>
      </c>
      <c r="N66" s="68">
        <v>160.68330099728692</v>
      </c>
      <c r="P66" s="57">
        <f t="shared" si="70"/>
        <v>0.17384443531039184</v>
      </c>
      <c r="R66" s="68">
        <v>736.24735872613155</v>
      </c>
      <c r="S66" s="68">
        <v>881.81929313650755</v>
      </c>
      <c r="U66" s="57">
        <f t="shared" si="71"/>
        <v>0.19772150308592917</v>
      </c>
    </row>
    <row r="67" spans="1:21" s="20" customFormat="1" ht="10" x14ac:dyDescent="0.2">
      <c r="A67" s="26"/>
      <c r="B67" s="55" t="s">
        <v>10</v>
      </c>
      <c r="C67" s="67">
        <v>33.653789663183005</v>
      </c>
      <c r="D67" s="67">
        <v>48.270508484180453</v>
      </c>
      <c r="F67" s="28">
        <f t="shared" si="68"/>
        <v>0.43432608830345276</v>
      </c>
      <c r="H67" s="67">
        <v>73.259188347850113</v>
      </c>
      <c r="I67" s="67">
        <v>72.708348888815109</v>
      </c>
      <c r="K67" s="28">
        <f t="shared" si="69"/>
        <v>-7.5190494388157614E-3</v>
      </c>
      <c r="M67" s="67">
        <v>32.534707335576854</v>
      </c>
      <c r="N67" s="67">
        <v>32.499957276315911</v>
      </c>
      <c r="P67" s="28">
        <f t="shared" si="70"/>
        <v>-1.068091957997841E-3</v>
      </c>
      <c r="R67" s="67">
        <v>106.91297801103312</v>
      </c>
      <c r="S67" s="67">
        <v>120.97885737299556</v>
      </c>
      <c r="U67" s="28">
        <f t="shared" si="71"/>
        <v>0.13156381595236155</v>
      </c>
    </row>
    <row r="68" spans="1:21" s="20" customFormat="1" ht="10" x14ac:dyDescent="0.2">
      <c r="A68" s="26"/>
      <c r="B68" s="55" t="s">
        <v>4</v>
      </c>
      <c r="C68" s="67">
        <v>214.01673222482694</v>
      </c>
      <c r="D68" s="67">
        <v>230.10676565505736</v>
      </c>
      <c r="F68" s="28">
        <f t="shared" si="68"/>
        <v>7.518119383921662E-2</v>
      </c>
      <c r="H68" s="67">
        <v>229.05506787929679</v>
      </c>
      <c r="I68" s="67">
        <v>249.1144498235999</v>
      </c>
      <c r="K68" s="28">
        <f t="shared" si="69"/>
        <v>8.757449520773597E-2</v>
      </c>
      <c r="M68" s="67">
        <v>69.298923287376908</v>
      </c>
      <c r="N68" s="67">
        <v>79.959206791940403</v>
      </c>
      <c r="P68" s="28">
        <f t="shared" si="70"/>
        <v>0.15383043485908399</v>
      </c>
      <c r="R68" s="67">
        <v>443.07180010412372</v>
      </c>
      <c r="S68" s="67">
        <v>479.22121547865726</v>
      </c>
      <c r="U68" s="28">
        <f t="shared" si="71"/>
        <v>8.1588165543458713E-2</v>
      </c>
    </row>
    <row r="69" spans="1:21" s="20" customFormat="1" ht="10" x14ac:dyDescent="0.2">
      <c r="A69" s="26"/>
      <c r="B69" s="55" t="s">
        <v>11</v>
      </c>
      <c r="C69" s="67">
        <v>79.432009996892887</v>
      </c>
      <c r="D69" s="67">
        <v>106.32193698077198</v>
      </c>
      <c r="F69" s="28">
        <f t="shared" si="68"/>
        <v>0.33852759089101414</v>
      </c>
      <c r="H69" s="67">
        <v>92.724865445355263</v>
      </c>
      <c r="I69" s="67">
        <v>96.651928520136906</v>
      </c>
      <c r="K69" s="28">
        <f t="shared" si="69"/>
        <v>4.2351779707849202E-2</v>
      </c>
      <c r="M69" s="67">
        <v>31.409819345743102</v>
      </c>
      <c r="N69" s="67">
        <v>32.059627805281053</v>
      </c>
      <c r="P69" s="28">
        <f t="shared" si="70"/>
        <v>2.0688067396542387E-2</v>
      </c>
      <c r="R69" s="67">
        <v>172.15687544224815</v>
      </c>
      <c r="S69" s="67">
        <v>202.97386550090889</v>
      </c>
      <c r="U69" s="28">
        <f t="shared" si="71"/>
        <v>0.17900528212710642</v>
      </c>
    </row>
    <row r="70" spans="1:21" s="20" customFormat="1" ht="10" x14ac:dyDescent="0.2">
      <c r="A70" s="26"/>
      <c r="B70" s="55" t="s">
        <v>6</v>
      </c>
      <c r="C70" s="67">
        <v>8.2807064126785797</v>
      </c>
      <c r="D70" s="67">
        <v>34.214929954088248</v>
      </c>
      <c r="F70" s="28">
        <f t="shared" si="68"/>
        <v>3.1318854031223484</v>
      </c>
      <c r="H70" s="67">
        <v>5.8249987560480143</v>
      </c>
      <c r="I70" s="67">
        <v>44.430424829857515</v>
      </c>
      <c r="K70" s="28">
        <f t="shared" si="69"/>
        <v>6.6275423722152782</v>
      </c>
      <c r="M70" s="67">
        <v>3.6429177336797114</v>
      </c>
      <c r="N70" s="67">
        <v>16.164509123749554</v>
      </c>
      <c r="P70" s="28">
        <f t="shared" si="70"/>
        <v>3.4372424263947847</v>
      </c>
      <c r="R70" s="67">
        <v>14.105705168726594</v>
      </c>
      <c r="S70" s="67">
        <v>78.645354783945763</v>
      </c>
      <c r="U70" s="28">
        <f t="shared" si="71"/>
        <v>4.5754287958824218</v>
      </c>
    </row>
    <row r="71" spans="1:21" s="20" customFormat="1" ht="10" x14ac:dyDescent="0.2">
      <c r="A71" s="26"/>
      <c r="B71" s="54" t="s">
        <v>12</v>
      </c>
      <c r="C71" s="67">
        <v>9.1200994243944375</v>
      </c>
      <c r="D71" s="67">
        <v>6.388225386126873</v>
      </c>
      <c r="F71" s="28">
        <f t="shared" si="68"/>
        <v>-0.29954432634367445</v>
      </c>
      <c r="H71" s="67">
        <v>8.1660867985028656</v>
      </c>
      <c r="I71" s="67">
        <v>18.159616249103898</v>
      </c>
      <c r="K71" s="28">
        <f t="shared" si="69"/>
        <v>1.2237843776572643</v>
      </c>
      <c r="M71" s="67">
        <v>2.2841588457609472</v>
      </c>
      <c r="N71" s="67">
        <v>7.3157945004869234</v>
      </c>
      <c r="P71" s="28">
        <f t="shared" si="70"/>
        <v>2.2028396422884202</v>
      </c>
      <c r="R71" s="67">
        <v>17.286186222897303</v>
      </c>
      <c r="S71" s="67">
        <v>24.547841635230771</v>
      </c>
      <c r="U71" s="28">
        <f t="shared" si="71"/>
        <v>0.42008429845067097</v>
      </c>
    </row>
    <row r="72" spans="1:21" s="52" customFormat="1" ht="13" x14ac:dyDescent="0.3">
      <c r="A72" s="58"/>
      <c r="B72" s="27" t="s">
        <v>27</v>
      </c>
      <c r="C72" s="66">
        <v>1809.5680272841578</v>
      </c>
      <c r="D72" s="66">
        <v>2200.1720069720382</v>
      </c>
      <c r="F72" s="19">
        <f t="shared" si="68"/>
        <v>0.21585481938145645</v>
      </c>
      <c r="H72" s="66">
        <v>2188.2054110220865</v>
      </c>
      <c r="I72" s="66">
        <v>2768.5977558336658</v>
      </c>
      <c r="K72" s="19">
        <f t="shared" si="69"/>
        <v>0.26523668294032987</v>
      </c>
      <c r="M72" s="66">
        <v>766.72232611422442</v>
      </c>
      <c r="N72" s="66">
        <v>1105.2458303565409</v>
      </c>
      <c r="P72" s="19">
        <f t="shared" si="70"/>
        <v>0.44152034277906771</v>
      </c>
      <c r="R72" s="66">
        <v>3997.7734383062443</v>
      </c>
      <c r="S72" s="66">
        <v>4968.769762805704</v>
      </c>
      <c r="U72" s="19">
        <f t="shared" si="71"/>
        <v>0.2428842803335165</v>
      </c>
    </row>
    <row r="73" spans="1:21" s="52" customFormat="1" ht="13" x14ac:dyDescent="0.3">
      <c r="A73" s="58"/>
      <c r="B73" s="29" t="s">
        <v>24</v>
      </c>
      <c r="C73" s="68">
        <v>220.9464028368395</v>
      </c>
      <c r="D73" s="68">
        <v>149.33825113648311</v>
      </c>
      <c r="E73" s="22"/>
      <c r="F73" s="57">
        <f t="shared" si="68"/>
        <v>-0.32409738642921593</v>
      </c>
      <c r="G73" s="22"/>
      <c r="H73" s="68">
        <v>269.18505701552044</v>
      </c>
      <c r="I73" s="68">
        <v>232.13178401617591</v>
      </c>
      <c r="J73" s="22"/>
      <c r="K73" s="57">
        <f t="shared" si="69"/>
        <v>-0.1376498138869876</v>
      </c>
      <c r="L73" s="22"/>
      <c r="M73" s="68">
        <v>101.68338239619624</v>
      </c>
      <c r="N73" s="68">
        <v>130.7826893859019</v>
      </c>
      <c r="O73" s="22"/>
      <c r="P73" s="57">
        <f t="shared" si="70"/>
        <v>0.28617563955852643</v>
      </c>
      <c r="Q73" s="22"/>
      <c r="R73" s="68">
        <v>490.13145985235991</v>
      </c>
      <c r="S73" s="68">
        <v>381.47003515265902</v>
      </c>
      <c r="T73" s="22"/>
      <c r="U73" s="57">
        <f t="shared" si="71"/>
        <v>-0.22169853110925075</v>
      </c>
    </row>
    <row r="74" spans="1:21" s="52" customFormat="1" ht="13" x14ac:dyDescent="0.3">
      <c r="A74" s="58"/>
      <c r="B74" s="29" t="s">
        <v>23</v>
      </c>
      <c r="C74" s="68">
        <v>973.56904807981061</v>
      </c>
      <c r="D74" s="68">
        <v>1406.6440310713608</v>
      </c>
      <c r="E74" s="22"/>
      <c r="F74" s="57">
        <f t="shared" si="68"/>
        <v>0.44483232478036605</v>
      </c>
      <c r="G74" s="22"/>
      <c r="H74" s="68">
        <v>1218.0031913059165</v>
      </c>
      <c r="I74" s="68">
        <v>1784.8254860148124</v>
      </c>
      <c r="J74" s="22"/>
      <c r="K74" s="57">
        <f t="shared" si="69"/>
        <v>0.4653701228000573</v>
      </c>
      <c r="L74" s="22"/>
      <c r="M74" s="68">
        <v>430.18314939503898</v>
      </c>
      <c r="N74" s="68">
        <v>687.18125818704266</v>
      </c>
      <c r="O74" s="22"/>
      <c r="P74" s="57">
        <f t="shared" si="70"/>
        <v>0.59741556393693429</v>
      </c>
      <c r="Q74" s="22"/>
      <c r="R74" s="68">
        <v>2191.5722393857272</v>
      </c>
      <c r="S74" s="68">
        <v>3191.4695170861733</v>
      </c>
      <c r="T74" s="22"/>
      <c r="U74" s="57">
        <f t="shared" si="71"/>
        <v>0.45624655200994235</v>
      </c>
    </row>
    <row r="75" spans="1:21" s="52" customFormat="1" ht="13" x14ac:dyDescent="0.3">
      <c r="A75" s="58"/>
      <c r="B75" s="29" t="s">
        <v>13</v>
      </c>
      <c r="C75" s="68">
        <v>615.05257636750775</v>
      </c>
      <c r="D75" s="68">
        <v>644.18972476419412</v>
      </c>
      <c r="E75" s="22"/>
      <c r="F75" s="57">
        <f t="shared" si="68"/>
        <v>4.7373427112150202E-2</v>
      </c>
      <c r="G75" s="22"/>
      <c r="H75" s="68">
        <v>701.01716270064958</v>
      </c>
      <c r="I75" s="68">
        <v>751.6404858026774</v>
      </c>
      <c r="J75" s="22"/>
      <c r="K75" s="57">
        <f t="shared" si="69"/>
        <v>7.2214099448011826E-2</v>
      </c>
      <c r="L75" s="22"/>
      <c r="M75" s="68">
        <v>234.85579432298914</v>
      </c>
      <c r="N75" s="68">
        <v>287.2818827835963</v>
      </c>
      <c r="O75" s="22"/>
      <c r="P75" s="57">
        <f t="shared" si="70"/>
        <v>0.22322671923736892</v>
      </c>
      <c r="Q75" s="22"/>
      <c r="R75" s="68">
        <v>1316.0697390681571</v>
      </c>
      <c r="S75" s="68">
        <v>1395.8302105668718</v>
      </c>
      <c r="T75" s="22"/>
      <c r="U75" s="57">
        <f t="shared" si="71"/>
        <v>6.060504936097777E-2</v>
      </c>
    </row>
    <row r="76" spans="1:21" s="52" customFormat="1" ht="13" x14ac:dyDescent="0.3">
      <c r="A76" s="58"/>
      <c r="B76" s="27" t="s">
        <v>7</v>
      </c>
      <c r="C76" s="66">
        <v>35.03856808768365</v>
      </c>
      <c r="D76" s="66">
        <v>39.685968425501279</v>
      </c>
      <c r="F76" s="19">
        <f t="shared" si="68"/>
        <v>0.13263670838909736</v>
      </c>
      <c r="H76" s="66">
        <v>32.312325412136467</v>
      </c>
      <c r="I76" s="66">
        <v>68.879181827331024</v>
      </c>
      <c r="K76" s="19">
        <f t="shared" si="69"/>
        <v>1.1316689823091499</v>
      </c>
      <c r="M76" s="66">
        <v>11.293889295337756</v>
      </c>
      <c r="N76" s="66">
        <v>19.661288700544105</v>
      </c>
      <c r="P76" s="19">
        <f t="shared" si="70"/>
        <v>0.7408784685591443</v>
      </c>
      <c r="R76" s="66">
        <v>67.350893499820117</v>
      </c>
      <c r="S76" s="66">
        <v>108.5651502528323</v>
      </c>
      <c r="U76" s="19">
        <f t="shared" si="71"/>
        <v>0.61193333319508603</v>
      </c>
    </row>
    <row r="77" spans="1:21" s="52" customFormat="1" ht="13" x14ac:dyDescent="0.3">
      <c r="A77" s="58"/>
      <c r="B77" s="27" t="s">
        <v>15</v>
      </c>
      <c r="C77" s="66">
        <v>26.733766752841248</v>
      </c>
      <c r="D77" s="66">
        <v>24.421165098273885</v>
      </c>
      <c r="F77" s="19">
        <f t="shared" si="68"/>
        <v>-8.6504893827637708E-2</v>
      </c>
      <c r="H77" s="66">
        <v>46.896018514954577</v>
      </c>
      <c r="I77" s="66">
        <v>65.821299900025764</v>
      </c>
      <c r="K77" s="19">
        <f t="shared" si="69"/>
        <v>0.40355838265963118</v>
      </c>
      <c r="M77" s="66">
        <v>5.188029260367486</v>
      </c>
      <c r="N77" s="66">
        <v>5.2551400883534143</v>
      </c>
      <c r="P77" s="19">
        <f t="shared" si="70"/>
        <v>1.2935707301923394E-2</v>
      </c>
      <c r="R77" s="66">
        <v>73.629785267795825</v>
      </c>
      <c r="S77" s="66">
        <v>90.242464998299653</v>
      </c>
      <c r="U77" s="19">
        <f t="shared" si="71"/>
        <v>0.22562444899278922</v>
      </c>
    </row>
    <row r="78" spans="1:21" s="52" customFormat="1" ht="13" x14ac:dyDescent="0.3">
      <c r="A78" s="58"/>
      <c r="B78" s="27" t="s">
        <v>12</v>
      </c>
      <c r="C78" s="66">
        <v>12.944710149614719</v>
      </c>
      <c r="D78" s="66">
        <v>12.838593980787779</v>
      </c>
      <c r="F78" s="19">
        <f t="shared" si="68"/>
        <v>-8.1976473478704293E-3</v>
      </c>
      <c r="H78" s="66">
        <v>4.8719656468480164</v>
      </c>
      <c r="I78" s="66">
        <v>17.211690028341479</v>
      </c>
      <c r="K78" s="19">
        <f t="shared" si="69"/>
        <v>2.5328020096933184</v>
      </c>
      <c r="M78" s="66">
        <v>1.6476143928769105</v>
      </c>
      <c r="N78" s="66">
        <v>5.2662731733029275</v>
      </c>
      <c r="P78" s="19">
        <f t="shared" si="70"/>
        <v>2.196301996432219</v>
      </c>
      <c r="R78" s="66">
        <v>17.816675796462736</v>
      </c>
      <c r="S78" s="66">
        <v>30.050284009129257</v>
      </c>
      <c r="U78" s="19">
        <f t="shared" si="71"/>
        <v>0.68663808852015706</v>
      </c>
    </row>
    <row r="79" spans="1:21" ht="11.25" customHeight="1" thickBot="1" x14ac:dyDescent="0.3">
      <c r="A79" s="22"/>
      <c r="F79" s="22"/>
      <c r="K79" s="22"/>
      <c r="P79" s="22"/>
      <c r="U79" s="22"/>
    </row>
    <row r="80" spans="1:21" ht="16" thickBot="1" x14ac:dyDescent="0.3">
      <c r="A80" s="30"/>
      <c r="B80" s="31" t="s">
        <v>17</v>
      </c>
      <c r="C80" s="59">
        <v>2837.9175738895615</v>
      </c>
      <c r="D80" s="60">
        <v>3526.8171343820818</v>
      </c>
      <c r="F80" s="32">
        <f>IF(C80,D80/C80-1,"")</f>
        <v>0.24274826261015603</v>
      </c>
      <c r="H80" s="59">
        <v>3475.8552443347235</v>
      </c>
      <c r="I80" s="60">
        <v>4643.8079917653777</v>
      </c>
      <c r="K80" s="32">
        <f>IF(H80,I80/H80-1,"")</f>
        <v>0.33601881129379407</v>
      </c>
      <c r="M80" s="59">
        <v>1213.1815815575644</v>
      </c>
      <c r="N80" s="60">
        <v>1816.6872789236654</v>
      </c>
      <c r="P80" s="32">
        <f>IF(M80,N80/M80-1,"")</f>
        <v>0.4974570225433852</v>
      </c>
      <c r="R80" s="59">
        <v>6313.7728182242854</v>
      </c>
      <c r="S80" s="60">
        <v>8170.625126147459</v>
      </c>
      <c r="U80" s="32">
        <f>IF(R80,S80/R80-1,"")</f>
        <v>0.29409552123311955</v>
      </c>
    </row>
    <row r="81" spans="1:21" ht="6" customHeight="1" thickBot="1" x14ac:dyDescent="0.3">
      <c r="A81" s="33"/>
      <c r="B81" s="34"/>
      <c r="C81" s="35"/>
      <c r="D81" s="35"/>
      <c r="E81" s="36"/>
      <c r="F81" s="33"/>
      <c r="G81" s="36"/>
      <c r="H81" s="35"/>
      <c r="I81" s="35"/>
      <c r="J81" s="36"/>
      <c r="K81" s="33"/>
      <c r="L81" s="36"/>
      <c r="M81" s="35"/>
      <c r="N81" s="35"/>
      <c r="O81" s="36"/>
      <c r="P81" s="33"/>
      <c r="Q81" s="36"/>
      <c r="R81" s="35"/>
      <c r="S81" s="35"/>
      <c r="T81" s="36"/>
      <c r="U81" s="33"/>
    </row>
    <row r="82" spans="1:21" ht="16.5" customHeight="1" thickBot="1" x14ac:dyDescent="0.3">
      <c r="A82" s="22"/>
      <c r="B82" s="31" t="s">
        <v>37</v>
      </c>
      <c r="C82" s="59">
        <v>6.7137936432812815</v>
      </c>
      <c r="D82" s="60">
        <v>14.094729766538167</v>
      </c>
      <c r="E82" s="38"/>
      <c r="F82" s="32">
        <f>IF(C82,D82/C82-1,"")</f>
        <v>1.0993689284214501</v>
      </c>
      <c r="G82" s="38"/>
      <c r="H82" s="59">
        <v>6.2739077349486596</v>
      </c>
      <c r="I82" s="60">
        <v>16.776199600810948</v>
      </c>
      <c r="K82" s="32">
        <f>IF(H82,I82/H82-1,"")</f>
        <v>1.6739633908480216</v>
      </c>
      <c r="L82" s="38"/>
      <c r="M82" s="37"/>
      <c r="N82" s="37"/>
      <c r="O82" s="38"/>
      <c r="P82" s="30"/>
      <c r="Q82" s="38"/>
      <c r="R82" s="59">
        <v>12.987701378229941</v>
      </c>
      <c r="S82" s="60">
        <v>30.870929367349117</v>
      </c>
      <c r="U82" s="32">
        <f>IF(R82,S82/R82-1,"")</f>
        <v>1.376935569145064</v>
      </c>
    </row>
    <row r="83" spans="1:21" ht="6" customHeight="1" thickBot="1" x14ac:dyDescent="0.3">
      <c r="A83" s="33"/>
      <c r="B83" s="39"/>
      <c r="C83" s="37"/>
      <c r="D83" s="37"/>
      <c r="E83" s="38"/>
      <c r="F83" s="40"/>
      <c r="G83" s="38"/>
      <c r="H83" s="37"/>
      <c r="I83" s="37"/>
      <c r="J83" s="38"/>
      <c r="K83" s="40"/>
      <c r="L83" s="38"/>
      <c r="M83" s="37"/>
      <c r="N83" s="37"/>
      <c r="O83" s="38"/>
      <c r="P83" s="40"/>
      <c r="Q83" s="38"/>
      <c r="R83" s="37"/>
      <c r="S83" s="37"/>
      <c r="T83" s="38"/>
      <c r="U83" s="40"/>
    </row>
    <row r="84" spans="1:21" ht="16.5" customHeight="1" collapsed="1" thickBot="1" x14ac:dyDescent="0.3">
      <c r="A84" s="22"/>
      <c r="B84" s="31" t="s">
        <v>39</v>
      </c>
      <c r="C84" s="59">
        <f>C82+C80</f>
        <v>2844.6313675328429</v>
      </c>
      <c r="D84" s="60">
        <f>D82+D80</f>
        <v>3540.9118641486198</v>
      </c>
      <c r="E84" s="38"/>
      <c r="F84" s="32">
        <f>IF(C84,D84/C84-1,"")</f>
        <v>0.24477002699286943</v>
      </c>
      <c r="G84" s="39"/>
      <c r="H84" s="59">
        <v>3482.1291520696723</v>
      </c>
      <c r="I84" s="59">
        <v>4660.5841913661889</v>
      </c>
      <c r="K84" s="32">
        <f>IF(H84,I84/H84-1,"")</f>
        <v>0.33842944584524637</v>
      </c>
      <c r="L84" s="38"/>
      <c r="M84" s="37"/>
      <c r="N84" s="37"/>
      <c r="O84" s="38"/>
      <c r="P84" s="30"/>
      <c r="Q84" s="38"/>
      <c r="R84" s="59">
        <v>6326.7605196025152</v>
      </c>
      <c r="S84" s="60">
        <v>8201.4960555148082</v>
      </c>
      <c r="U84" s="32">
        <f>IF(R84,S84/R84-1,"")</f>
        <v>0.29631839708547636</v>
      </c>
    </row>
    <row r="85" spans="1:21" ht="18" customHeight="1" x14ac:dyDescent="0.25">
      <c r="A85" s="22"/>
      <c r="B85" s="45"/>
      <c r="C85" s="46"/>
      <c r="D85" s="46"/>
      <c r="E85" s="38"/>
      <c r="F85" s="47"/>
      <c r="G85" s="38"/>
      <c r="H85" s="46"/>
      <c r="I85" s="46"/>
      <c r="J85" s="38"/>
      <c r="K85" s="47"/>
      <c r="L85" s="38"/>
      <c r="M85" s="46"/>
      <c r="N85" s="46"/>
      <c r="O85" s="38"/>
      <c r="P85" s="47"/>
      <c r="Q85" s="38"/>
      <c r="R85" s="46"/>
      <c r="S85" s="46"/>
      <c r="T85" s="38"/>
      <c r="U85" s="47"/>
    </row>
    <row r="86" spans="1:21" ht="18" customHeight="1" x14ac:dyDescent="0.25">
      <c r="A86" s="22"/>
      <c r="B86" s="39"/>
      <c r="C86" s="37"/>
      <c r="D86" s="37"/>
      <c r="E86" s="38"/>
      <c r="F86" s="30"/>
      <c r="G86" s="38"/>
      <c r="H86" s="37"/>
      <c r="I86" s="37"/>
      <c r="J86" s="38"/>
      <c r="K86" s="30"/>
      <c r="L86" s="38"/>
      <c r="M86" s="37"/>
      <c r="N86" s="37"/>
      <c r="O86" s="38"/>
      <c r="P86" s="30"/>
      <c r="Q86" s="38"/>
      <c r="R86" s="37"/>
      <c r="S86" s="37"/>
      <c r="T86" s="38"/>
      <c r="U86" s="30"/>
    </row>
    <row r="88" spans="1:21" ht="18" customHeight="1" x14ac:dyDescent="0.25">
      <c r="A88" s="22"/>
      <c r="B88" s="16"/>
      <c r="C88" s="15"/>
      <c r="D88" s="70"/>
      <c r="E88" s="17"/>
      <c r="F88" s="49"/>
      <c r="G88" s="17"/>
      <c r="H88" s="15"/>
      <c r="I88" s="70"/>
      <c r="J88" s="17"/>
      <c r="K88" s="49"/>
      <c r="L88" s="17"/>
      <c r="M88" s="15"/>
      <c r="N88" s="70"/>
      <c r="O88" s="17"/>
      <c r="P88" s="49"/>
      <c r="Q88" s="17"/>
      <c r="R88" s="15"/>
      <c r="S88" s="15"/>
      <c r="T88" s="17"/>
      <c r="U88" s="49"/>
    </row>
    <row r="89" spans="1:21" ht="18" customHeight="1" x14ac:dyDescent="0.25">
      <c r="A89" s="22"/>
      <c r="B89" s="16"/>
      <c r="C89" s="15"/>
      <c r="D89" s="15"/>
      <c r="E89" s="17"/>
      <c r="F89" s="49"/>
      <c r="G89" s="17"/>
      <c r="H89" s="15"/>
      <c r="I89" s="15"/>
      <c r="J89" s="17"/>
      <c r="K89" s="49"/>
      <c r="L89" s="17"/>
      <c r="M89" s="15"/>
      <c r="N89" s="15"/>
      <c r="O89" s="17"/>
      <c r="P89" s="49"/>
      <c r="Q89" s="17"/>
      <c r="R89" s="15"/>
      <c r="S89" s="15"/>
      <c r="T89" s="17"/>
      <c r="U89" s="49"/>
    </row>
    <row r="90" spans="1:21" ht="18" customHeight="1" x14ac:dyDescent="0.25">
      <c r="A90" s="22"/>
      <c r="B90" s="50"/>
      <c r="C90" s="171" t="str">
        <f>S35</f>
        <v>I-VI 2025</v>
      </c>
      <c r="D90" s="171"/>
      <c r="E90" s="171"/>
      <c r="F90" s="171"/>
      <c r="G90" s="38"/>
      <c r="H90" s="172" t="str">
        <f>R35</f>
        <v>I-VI 2024</v>
      </c>
      <c r="I90" s="172"/>
      <c r="J90" s="172"/>
      <c r="K90" s="172"/>
      <c r="L90" s="38"/>
      <c r="M90" s="173" t="s">
        <v>79</v>
      </c>
      <c r="N90" s="173"/>
      <c r="O90" s="173"/>
      <c r="P90" s="173"/>
      <c r="Q90" s="38"/>
    </row>
    <row r="91" spans="1:21" s="38" customFormat="1" x14ac:dyDescent="0.25">
      <c r="A91" s="51"/>
      <c r="F91" s="51"/>
      <c r="K91" s="51"/>
      <c r="P91" s="51"/>
    </row>
    <row r="92" spans="1:21" s="38" customFormat="1" ht="44.15" customHeight="1" x14ac:dyDescent="0.25">
      <c r="A92" s="51"/>
      <c r="C92" s="120" t="s">
        <v>43</v>
      </c>
      <c r="D92" s="120" t="s">
        <v>44</v>
      </c>
      <c r="E92" s="119"/>
      <c r="F92" s="120" t="s">
        <v>45</v>
      </c>
      <c r="H92" s="121" t="s">
        <v>43</v>
      </c>
      <c r="I92" s="121" t="s">
        <v>44</v>
      </c>
      <c r="J92" s="119"/>
      <c r="K92" s="121" t="s">
        <v>45</v>
      </c>
      <c r="M92" s="122" t="s">
        <v>43</v>
      </c>
      <c r="N92" s="122" t="s">
        <v>44</v>
      </c>
      <c r="O92" s="119"/>
      <c r="P92" s="122" t="s">
        <v>45</v>
      </c>
    </row>
    <row r="93" spans="1:21" s="38" customFormat="1" ht="15" thickBot="1" x14ac:dyDescent="0.4">
      <c r="A93" s="51"/>
      <c r="B93" s="71"/>
      <c r="C93" s="71"/>
      <c r="D93" s="71"/>
      <c r="E93" s="72"/>
      <c r="F93" s="71"/>
      <c r="H93" s="71"/>
      <c r="I93" s="71"/>
      <c r="J93" s="72"/>
      <c r="K93" s="71"/>
      <c r="M93" s="71"/>
      <c r="N93" s="71"/>
      <c r="O93" s="72"/>
      <c r="P93" s="71"/>
    </row>
    <row r="94" spans="1:21" ht="15" thickBot="1" x14ac:dyDescent="0.4">
      <c r="B94" s="73" t="s">
        <v>46</v>
      </c>
      <c r="C94" s="74">
        <f t="shared" ref="C94:C103" si="72">S36</f>
        <v>38944.291347350081</v>
      </c>
      <c r="D94" s="75">
        <f t="shared" ref="D94:D103" si="73">S63</f>
        <v>2972.997464081493</v>
      </c>
      <c r="E94" s="76"/>
      <c r="F94" s="77">
        <f>SUM(F95:F96,F98:F102)</f>
        <v>41917.288811431579</v>
      </c>
      <c r="H94" s="74">
        <f t="shared" ref="H94:H103" si="74">R36</f>
        <v>37280.33640552991</v>
      </c>
      <c r="I94" s="75">
        <f t="shared" ref="I94:I103" si="75">R63</f>
        <v>2157.2020253539622</v>
      </c>
      <c r="J94" s="76"/>
      <c r="K94" s="77">
        <f>SUM(K95:K96,K98:K102)</f>
        <v>39437.538430883869</v>
      </c>
      <c r="M94" s="123">
        <f t="shared" ref="M94:M135" si="76">IFERROR(C94/H94-1,"")</f>
        <v>4.4633581728445781E-2</v>
      </c>
      <c r="N94" s="124">
        <f t="shared" ref="N94:N135" si="77">IFERROR(D94/I94-1,"")</f>
        <v>0.37817294307132499</v>
      </c>
      <c r="O94" s="125"/>
      <c r="P94" s="126">
        <f t="shared" ref="P94:P135" si="78">IFERROR(F94/K94-1,"")</f>
        <v>6.2877919850235831E-2</v>
      </c>
    </row>
    <row r="95" spans="1:21" ht="14.5" x14ac:dyDescent="0.25">
      <c r="B95" s="78" t="s">
        <v>0</v>
      </c>
      <c r="C95" s="79">
        <f t="shared" si="72"/>
        <v>26188.897172528883</v>
      </c>
      <c r="D95" s="80">
        <f t="shared" si="73"/>
        <v>1878.4312350681187</v>
      </c>
      <c r="E95" s="81"/>
      <c r="F95" s="82">
        <f>C95+D95</f>
        <v>28067.328407597</v>
      </c>
      <c r="H95" s="79">
        <f t="shared" si="74"/>
        <v>24129.549913972245</v>
      </c>
      <c r="I95" s="80">
        <f t="shared" si="75"/>
        <v>1186.7750752411621</v>
      </c>
      <c r="J95" s="81"/>
      <c r="K95" s="82">
        <f>H95+I95</f>
        <v>25316.324989213408</v>
      </c>
      <c r="M95" s="127">
        <f t="shared" si="76"/>
        <v>8.534544846044434E-2</v>
      </c>
      <c r="N95" s="128">
        <f t="shared" si="77"/>
        <v>0.58280307217136884</v>
      </c>
      <c r="O95" s="129"/>
      <c r="P95" s="130">
        <f t="shared" si="78"/>
        <v>0.10866519605652547</v>
      </c>
    </row>
    <row r="96" spans="1:21" ht="14.5" x14ac:dyDescent="0.25">
      <c r="B96" s="83" t="s">
        <v>8</v>
      </c>
      <c r="C96" s="79">
        <f t="shared" si="72"/>
        <v>3742.6552353386851</v>
      </c>
      <c r="D96" s="80">
        <f t="shared" si="73"/>
        <v>188.19909424163609</v>
      </c>
      <c r="E96" s="81"/>
      <c r="F96" s="82">
        <f>C96+D96</f>
        <v>3930.8543295803211</v>
      </c>
      <c r="H96" s="79">
        <f t="shared" si="74"/>
        <v>3909.0579079461622</v>
      </c>
      <c r="I96" s="80">
        <f t="shared" si="75"/>
        <v>216.89340516377086</v>
      </c>
      <c r="J96" s="81"/>
      <c r="K96" s="82">
        <f>H96+I96</f>
        <v>4125.9513131099329</v>
      </c>
      <c r="M96" s="127">
        <f t="shared" si="76"/>
        <v>-4.2568484920425753E-2</v>
      </c>
      <c r="N96" s="128">
        <f t="shared" si="77"/>
        <v>-0.13229683447714058</v>
      </c>
      <c r="O96" s="129"/>
      <c r="P96" s="130">
        <f t="shared" si="78"/>
        <v>-4.7285333423519593E-2</v>
      </c>
    </row>
    <row r="97" spans="2:17" ht="14.5" x14ac:dyDescent="0.25">
      <c r="B97" s="83" t="s">
        <v>9</v>
      </c>
      <c r="C97" s="84">
        <f t="shared" si="72"/>
        <v>8552.8010441841507</v>
      </c>
      <c r="D97" s="85">
        <f t="shared" si="73"/>
        <v>881.81929313650755</v>
      </c>
      <c r="E97" s="81"/>
      <c r="F97" s="86">
        <f>SUM(F98:F101)</f>
        <v>9434.620337320659</v>
      </c>
      <c r="H97" s="84">
        <f t="shared" si="74"/>
        <v>8748.1394921437604</v>
      </c>
      <c r="I97" s="85">
        <f t="shared" si="75"/>
        <v>736.24735872613155</v>
      </c>
      <c r="J97" s="81"/>
      <c r="K97" s="86">
        <f>SUM(K98:K101)</f>
        <v>9484.3868508698924</v>
      </c>
      <c r="M97" s="131">
        <f t="shared" si="76"/>
        <v>-2.2329141886115678E-2</v>
      </c>
      <c r="N97" s="132">
        <f t="shared" si="77"/>
        <v>0.19772150308592917</v>
      </c>
      <c r="O97" s="129"/>
      <c r="P97" s="133">
        <f t="shared" si="78"/>
        <v>-5.2472040978240875E-3</v>
      </c>
    </row>
    <row r="98" spans="2:17" ht="14.5" x14ac:dyDescent="0.25">
      <c r="B98" s="87" t="s">
        <v>10</v>
      </c>
      <c r="C98" s="88">
        <f t="shared" si="72"/>
        <v>1958.3025305865158</v>
      </c>
      <c r="D98" s="89">
        <f t="shared" si="73"/>
        <v>120.97885737299556</v>
      </c>
      <c r="E98" s="81"/>
      <c r="F98" s="90">
        <f t="shared" ref="F98:F102" si="79">C98+D98</f>
        <v>2079.2813879595114</v>
      </c>
      <c r="H98" s="88">
        <f t="shared" si="74"/>
        <v>2023.2552291356312</v>
      </c>
      <c r="I98" s="89">
        <f t="shared" si="75"/>
        <v>106.91297801103312</v>
      </c>
      <c r="J98" s="81"/>
      <c r="K98" s="90">
        <f t="shared" ref="K98:K102" si="80">H98+I98</f>
        <v>2130.1682071466644</v>
      </c>
      <c r="M98" s="134">
        <f t="shared" si="76"/>
        <v>-3.2103067182910117E-2</v>
      </c>
      <c r="N98" s="135">
        <f t="shared" si="77"/>
        <v>0.13156381595236155</v>
      </c>
      <c r="O98" s="129"/>
      <c r="P98" s="136">
        <f t="shared" si="78"/>
        <v>-2.388863894242188E-2</v>
      </c>
    </row>
    <row r="99" spans="2:17" ht="14.5" x14ac:dyDescent="0.25">
      <c r="B99" s="87" t="s">
        <v>4</v>
      </c>
      <c r="C99" s="88">
        <f t="shared" si="72"/>
        <v>3930.9374815745377</v>
      </c>
      <c r="D99" s="89">
        <f t="shared" si="73"/>
        <v>479.22121547865726</v>
      </c>
      <c r="E99" s="81"/>
      <c r="F99" s="90">
        <f t="shared" si="79"/>
        <v>4410.1586970531953</v>
      </c>
      <c r="H99" s="88">
        <f t="shared" si="74"/>
        <v>4369.3451326400409</v>
      </c>
      <c r="I99" s="89">
        <f t="shared" si="75"/>
        <v>443.07180010412372</v>
      </c>
      <c r="J99" s="81"/>
      <c r="K99" s="90">
        <f t="shared" si="80"/>
        <v>4812.416932744165</v>
      </c>
      <c r="M99" s="134">
        <f t="shared" si="76"/>
        <v>-0.10033715299587909</v>
      </c>
      <c r="N99" s="135">
        <f t="shared" si="77"/>
        <v>8.1588165543458713E-2</v>
      </c>
      <c r="O99" s="129"/>
      <c r="P99" s="136">
        <f t="shared" si="78"/>
        <v>-8.3587569679169804E-2</v>
      </c>
    </row>
    <row r="100" spans="2:17" s="20" customFormat="1" ht="14.5" x14ac:dyDescent="0.25">
      <c r="B100" s="87" t="s">
        <v>11</v>
      </c>
      <c r="C100" s="88">
        <f t="shared" si="72"/>
        <v>1851.698371134032</v>
      </c>
      <c r="D100" s="89">
        <f t="shared" si="73"/>
        <v>202.97386550090889</v>
      </c>
      <c r="E100" s="81"/>
      <c r="F100" s="90">
        <f t="shared" si="79"/>
        <v>2054.6722366349409</v>
      </c>
      <c r="G100" s="22"/>
      <c r="H100" s="88">
        <f t="shared" si="74"/>
        <v>1722.4640287048467</v>
      </c>
      <c r="I100" s="89">
        <f t="shared" si="75"/>
        <v>172.15687544224815</v>
      </c>
      <c r="J100" s="81"/>
      <c r="K100" s="90">
        <f t="shared" si="80"/>
        <v>1894.6209041470947</v>
      </c>
      <c r="L100" s="22"/>
      <c r="M100" s="134">
        <f t="shared" si="76"/>
        <v>7.5028761283542744E-2</v>
      </c>
      <c r="N100" s="135">
        <f t="shared" si="77"/>
        <v>0.17900528212710642</v>
      </c>
      <c r="O100" s="129"/>
      <c r="P100" s="136">
        <f t="shared" si="78"/>
        <v>8.4476705676324704E-2</v>
      </c>
      <c r="Q100" s="22"/>
    </row>
    <row r="101" spans="2:17" s="20" customFormat="1" ht="14.5" x14ac:dyDescent="0.25">
      <c r="B101" s="87" t="s">
        <v>6</v>
      </c>
      <c r="C101" s="88">
        <f t="shared" si="72"/>
        <v>811.86266088906507</v>
      </c>
      <c r="D101" s="89">
        <f t="shared" si="73"/>
        <v>78.645354783945763</v>
      </c>
      <c r="E101" s="81"/>
      <c r="F101" s="90">
        <f t="shared" si="79"/>
        <v>890.50801567301085</v>
      </c>
      <c r="G101" s="22"/>
      <c r="H101" s="88">
        <f t="shared" si="74"/>
        <v>633.07510166324187</v>
      </c>
      <c r="I101" s="89">
        <f t="shared" si="75"/>
        <v>14.105705168726594</v>
      </c>
      <c r="J101" s="81"/>
      <c r="K101" s="90">
        <f t="shared" si="80"/>
        <v>647.18080683196843</v>
      </c>
      <c r="L101" s="22"/>
      <c r="M101" s="134">
        <f t="shared" si="76"/>
        <v>0.28241129489393102</v>
      </c>
      <c r="N101" s="135">
        <f t="shared" si="77"/>
        <v>4.5754287958824218</v>
      </c>
      <c r="O101" s="129"/>
      <c r="P101" s="136">
        <f t="shared" si="78"/>
        <v>0.37598026126911854</v>
      </c>
      <c r="Q101" s="22"/>
    </row>
    <row r="102" spans="2:17" s="20" customFormat="1" ht="15" thickBot="1" x14ac:dyDescent="0.3">
      <c r="B102" s="91" t="s">
        <v>12</v>
      </c>
      <c r="C102" s="92">
        <f t="shared" si="72"/>
        <v>459.93789529836999</v>
      </c>
      <c r="D102" s="93">
        <f t="shared" si="73"/>
        <v>24.547841635230771</v>
      </c>
      <c r="E102" s="81"/>
      <c r="F102" s="94">
        <f t="shared" si="79"/>
        <v>484.48573693360078</v>
      </c>
      <c r="G102" s="22"/>
      <c r="H102" s="92">
        <f t="shared" si="74"/>
        <v>493.58909146774556</v>
      </c>
      <c r="I102" s="93">
        <f t="shared" si="75"/>
        <v>17.286186222897303</v>
      </c>
      <c r="J102" s="81"/>
      <c r="K102" s="94">
        <f t="shared" si="80"/>
        <v>510.87527769064286</v>
      </c>
      <c r="L102" s="22"/>
      <c r="M102" s="137">
        <f t="shared" si="76"/>
        <v>-6.8176539455743979E-2</v>
      </c>
      <c r="N102" s="138">
        <f t="shared" si="77"/>
        <v>0.42008429845067097</v>
      </c>
      <c r="O102" s="129"/>
      <c r="P102" s="139">
        <f t="shared" si="78"/>
        <v>-5.1655544727733149E-2</v>
      </c>
      <c r="Q102" s="22"/>
    </row>
    <row r="103" spans="2:17" s="20" customFormat="1" ht="15" thickBot="1" x14ac:dyDescent="0.3">
      <c r="B103" s="95" t="s">
        <v>47</v>
      </c>
      <c r="C103" s="96">
        <f t="shared" si="72"/>
        <v>7775.2646185349886</v>
      </c>
      <c r="D103" s="97">
        <f t="shared" si="73"/>
        <v>4968.769762805704</v>
      </c>
      <c r="E103" s="76"/>
      <c r="F103" s="77">
        <f>SUM(F104:F118)</f>
        <v>12744.034381340694</v>
      </c>
      <c r="G103" s="22"/>
      <c r="H103" s="96">
        <f t="shared" si="74"/>
        <v>8582.8598466588883</v>
      </c>
      <c r="I103" s="97">
        <f t="shared" si="75"/>
        <v>3997.7734383062443</v>
      </c>
      <c r="J103" s="76"/>
      <c r="K103" s="77">
        <f>SUM(K104:K118)</f>
        <v>12580.633284965132</v>
      </c>
      <c r="L103" s="22"/>
      <c r="M103" s="140">
        <f t="shared" si="76"/>
        <v>-9.409395499313411E-2</v>
      </c>
      <c r="N103" s="141">
        <f t="shared" si="77"/>
        <v>0.2428842803335165</v>
      </c>
      <c r="O103" s="125"/>
      <c r="P103" s="126">
        <f t="shared" si="78"/>
        <v>1.2988304537168371E-2</v>
      </c>
      <c r="Q103" s="22"/>
    </row>
    <row r="104" spans="2:17" s="20" customFormat="1" ht="14.5" x14ac:dyDescent="0.35">
      <c r="B104" s="98" t="s">
        <v>48</v>
      </c>
      <c r="C104" s="99">
        <v>2017.2989349950576</v>
      </c>
      <c r="D104" s="100">
        <v>381.47003515265902</v>
      </c>
      <c r="E104" s="101"/>
      <c r="F104" s="102">
        <f t="shared" ref="F104:F106" si="81">C104+D104</f>
        <v>2398.7689701477166</v>
      </c>
      <c r="G104" s="22"/>
      <c r="H104" s="99">
        <v>2154.7167407087641</v>
      </c>
      <c r="I104" s="100">
        <v>490.13145985235991</v>
      </c>
      <c r="J104" s="101"/>
      <c r="K104" s="102">
        <f t="shared" ref="K104:K106" si="82">H104+I104</f>
        <v>2644.848200561124</v>
      </c>
      <c r="L104" s="22"/>
      <c r="M104" s="142">
        <f t="shared" si="76"/>
        <v>-6.3775346019962154E-2</v>
      </c>
      <c r="N104" s="143">
        <f t="shared" si="77"/>
        <v>-0.22169853110925075</v>
      </c>
      <c r="O104" s="144"/>
      <c r="P104" s="145">
        <f t="shared" si="78"/>
        <v>-9.3040965587817048E-2</v>
      </c>
      <c r="Q104" s="22"/>
    </row>
    <row r="105" spans="2:17" s="20" customFormat="1" ht="14.5" x14ac:dyDescent="0.35">
      <c r="B105" s="103" t="s">
        <v>49</v>
      </c>
      <c r="C105" s="99">
        <v>636.33036528457683</v>
      </c>
      <c r="D105" s="100">
        <v>3191.4695170861733</v>
      </c>
      <c r="E105" s="101"/>
      <c r="F105" s="104">
        <f t="shared" si="81"/>
        <v>3827.7998823707503</v>
      </c>
      <c r="G105" s="22"/>
      <c r="H105" s="99">
        <v>702.82313102112801</v>
      </c>
      <c r="I105" s="100">
        <v>2191.5722393857272</v>
      </c>
      <c r="J105" s="101"/>
      <c r="K105" s="104">
        <f t="shared" si="82"/>
        <v>2894.3953704068554</v>
      </c>
      <c r="L105" s="22"/>
      <c r="M105" s="142">
        <f t="shared" si="76"/>
        <v>-9.4608106651163038E-2</v>
      </c>
      <c r="N105" s="143">
        <f t="shared" si="77"/>
        <v>0.45624655200994235</v>
      </c>
      <c r="O105" s="144"/>
      <c r="P105" s="146">
        <f t="shared" si="78"/>
        <v>0.3224868729086896</v>
      </c>
      <c r="Q105" s="22"/>
    </row>
    <row r="106" spans="2:17" s="20" customFormat="1" ht="14.5" x14ac:dyDescent="0.35">
      <c r="B106" s="103" t="s">
        <v>50</v>
      </c>
      <c r="C106" s="99">
        <v>207.47463747543642</v>
      </c>
      <c r="D106" s="100">
        <v>136.01143935562436</v>
      </c>
      <c r="E106" s="101"/>
      <c r="F106" s="104">
        <f t="shared" si="81"/>
        <v>343.48607683106081</v>
      </c>
      <c r="G106" s="22"/>
      <c r="H106" s="99">
        <v>248.49938264368132</v>
      </c>
      <c r="I106" s="100">
        <v>43.183799597307306</v>
      </c>
      <c r="J106" s="101"/>
      <c r="K106" s="104">
        <f t="shared" si="82"/>
        <v>291.68318224098863</v>
      </c>
      <c r="L106" s="22"/>
      <c r="M106" s="142">
        <f t="shared" si="76"/>
        <v>-0.16508992791772648</v>
      </c>
      <c r="N106" s="143">
        <f t="shared" si="77"/>
        <v>2.1495940751842793</v>
      </c>
      <c r="O106" s="144"/>
      <c r="P106" s="146">
        <f t="shared" si="78"/>
        <v>0.17759986774716618</v>
      </c>
      <c r="Q106" s="22"/>
    </row>
    <row r="107" spans="2:17" s="20" customFormat="1" ht="14.5" x14ac:dyDescent="0.35">
      <c r="B107" s="103" t="s">
        <v>51</v>
      </c>
      <c r="C107" s="99">
        <v>413.2676825898173</v>
      </c>
      <c r="D107" s="100">
        <v>43.385599115241838</v>
      </c>
      <c r="E107" s="101"/>
      <c r="F107" s="104">
        <f>C107+D107</f>
        <v>456.65328170505916</v>
      </c>
      <c r="G107" s="22"/>
      <c r="H107" s="99">
        <v>383.77477974827872</v>
      </c>
      <c r="I107" s="100">
        <v>77.990104153667531</v>
      </c>
      <c r="J107" s="101"/>
      <c r="K107" s="104">
        <f>H107+I107</f>
        <v>461.76488390194623</v>
      </c>
      <c r="L107" s="22"/>
      <c r="M107" s="142">
        <f t="shared" si="76"/>
        <v>7.6849507570255771E-2</v>
      </c>
      <c r="N107" s="143">
        <f t="shared" si="77"/>
        <v>-0.44370379311512176</v>
      </c>
      <c r="O107" s="144"/>
      <c r="P107" s="146">
        <f t="shared" si="78"/>
        <v>-1.1069707496364156E-2</v>
      </c>
      <c r="Q107" s="22"/>
    </row>
    <row r="108" spans="2:17" s="20" customFormat="1" ht="14.5" x14ac:dyDescent="0.35">
      <c r="B108" s="103" t="s">
        <v>52</v>
      </c>
      <c r="C108" s="99">
        <v>695.61928965706704</v>
      </c>
      <c r="D108" s="100">
        <v>107.62199644973677</v>
      </c>
      <c r="E108" s="101"/>
      <c r="F108" s="104">
        <f t="shared" ref="F108:F118" si="83">C108+D108</f>
        <v>803.24128610680384</v>
      </c>
      <c r="G108" s="22"/>
      <c r="H108" s="99">
        <v>835.58632015785577</v>
      </c>
      <c r="I108" s="100">
        <v>126.63842981859845</v>
      </c>
      <c r="J108" s="101"/>
      <c r="K108" s="104">
        <f t="shared" ref="K108:K118" si="84">H108+I108</f>
        <v>962.22474997645418</v>
      </c>
      <c r="L108" s="22"/>
      <c r="M108" s="142">
        <f t="shared" si="76"/>
        <v>-0.16750756579445514</v>
      </c>
      <c r="N108" s="143">
        <f t="shared" si="77"/>
        <v>-0.15016321187890214</v>
      </c>
      <c r="O108" s="144"/>
      <c r="P108" s="146">
        <f t="shared" si="78"/>
        <v>-0.16522487482632375</v>
      </c>
      <c r="Q108" s="22"/>
    </row>
    <row r="109" spans="2:17" s="20" customFormat="1" ht="14.5" x14ac:dyDescent="0.35">
      <c r="B109" s="103" t="s">
        <v>53</v>
      </c>
      <c r="C109" s="99">
        <v>315.60057258436558</v>
      </c>
      <c r="D109" s="100">
        <v>112.21615297900328</v>
      </c>
      <c r="E109" s="101"/>
      <c r="F109" s="104">
        <f t="shared" si="83"/>
        <v>427.81672556336889</v>
      </c>
      <c r="G109" s="22"/>
      <c r="H109" s="99">
        <v>380.14367244085093</v>
      </c>
      <c r="I109" s="100">
        <v>47.037989153647175</v>
      </c>
      <c r="J109" s="101"/>
      <c r="K109" s="104">
        <f t="shared" si="84"/>
        <v>427.18166159449811</v>
      </c>
      <c r="L109" s="22"/>
      <c r="M109" s="142">
        <f t="shared" si="76"/>
        <v>-0.16978606915133654</v>
      </c>
      <c r="N109" s="143">
        <f t="shared" si="77"/>
        <v>1.3856494505420924</v>
      </c>
      <c r="O109" s="144"/>
      <c r="P109" s="146">
        <f t="shared" si="78"/>
        <v>1.4866367776658063E-3</v>
      </c>
      <c r="Q109" s="22"/>
    </row>
    <row r="110" spans="2:17" s="20" customFormat="1" ht="14.5" x14ac:dyDescent="0.35">
      <c r="B110" s="103" t="s">
        <v>54</v>
      </c>
      <c r="C110" s="99">
        <v>255.27110961938479</v>
      </c>
      <c r="D110" s="100">
        <v>418.51929049282268</v>
      </c>
      <c r="E110" s="101"/>
      <c r="F110" s="104">
        <f t="shared" si="83"/>
        <v>673.79040011220741</v>
      </c>
      <c r="G110" s="22"/>
      <c r="H110" s="99">
        <v>235.90026215448219</v>
      </c>
      <c r="I110" s="100">
        <v>464.22225528469943</v>
      </c>
      <c r="J110" s="101"/>
      <c r="K110" s="104">
        <f t="shared" si="84"/>
        <v>700.12251743918159</v>
      </c>
      <c r="L110" s="22"/>
      <c r="M110" s="142">
        <f t="shared" si="76"/>
        <v>8.2114565231883319E-2</v>
      </c>
      <c r="N110" s="143">
        <f t="shared" si="77"/>
        <v>-9.8450611256989173E-2</v>
      </c>
      <c r="O110" s="144"/>
      <c r="P110" s="146">
        <f t="shared" si="78"/>
        <v>-3.7610727652766296E-2</v>
      </c>
      <c r="Q110" s="22"/>
    </row>
    <row r="111" spans="2:17" s="20" customFormat="1" ht="14.5" x14ac:dyDescent="0.35">
      <c r="B111" s="103" t="s">
        <v>55</v>
      </c>
      <c r="C111" s="99">
        <v>124.92525846404303</v>
      </c>
      <c r="D111" s="100">
        <v>11.295831677448135</v>
      </c>
      <c r="E111" s="101"/>
      <c r="F111" s="104">
        <f t="shared" si="83"/>
        <v>136.22109014149117</v>
      </c>
      <c r="G111" s="22"/>
      <c r="H111" s="99">
        <v>99.886109048847089</v>
      </c>
      <c r="I111" s="100">
        <v>9.7373228981357034</v>
      </c>
      <c r="J111" s="101"/>
      <c r="K111" s="104">
        <f t="shared" si="84"/>
        <v>109.62343194698279</v>
      </c>
      <c r="L111" s="22"/>
      <c r="M111" s="142">
        <f t="shared" si="76"/>
        <v>0.25067699256311093</v>
      </c>
      <c r="N111" s="143">
        <f t="shared" si="77"/>
        <v>0.16005516050112933</v>
      </c>
      <c r="O111" s="144"/>
      <c r="P111" s="146">
        <f t="shared" si="78"/>
        <v>0.24262749051107813</v>
      </c>
      <c r="Q111" s="22"/>
    </row>
    <row r="112" spans="2:17" s="20" customFormat="1" ht="14.5" x14ac:dyDescent="0.35">
      <c r="B112" s="103" t="s">
        <v>56</v>
      </c>
      <c r="C112" s="99">
        <v>550.48025913881565</v>
      </c>
      <c r="D112" s="100">
        <v>15.546173127587448</v>
      </c>
      <c r="E112" s="101"/>
      <c r="F112" s="104">
        <f t="shared" si="83"/>
        <v>566.02643226640305</v>
      </c>
      <c r="G112" s="22"/>
      <c r="H112" s="99">
        <v>707.31010913625312</v>
      </c>
      <c r="I112" s="100">
        <v>12.930571583489222</v>
      </c>
      <c r="J112" s="101"/>
      <c r="K112" s="104">
        <f t="shared" si="84"/>
        <v>720.24068071974239</v>
      </c>
      <c r="L112" s="22"/>
      <c r="M112" s="142">
        <f t="shared" si="76"/>
        <v>-0.22172714340100919</v>
      </c>
      <c r="N112" s="143">
        <f t="shared" si="77"/>
        <v>0.20228042721932216</v>
      </c>
      <c r="O112" s="144"/>
      <c r="P112" s="146">
        <f t="shared" si="78"/>
        <v>-0.21411488212416963</v>
      </c>
      <c r="Q112" s="22"/>
    </row>
    <row r="113" spans="2:17" s="20" customFormat="1" ht="14.5" x14ac:dyDescent="0.35">
      <c r="B113" s="103" t="s">
        <v>57</v>
      </c>
      <c r="C113" s="99">
        <v>3.4784370468337396</v>
      </c>
      <c r="D113" s="100">
        <v>1.9693443905416079</v>
      </c>
      <c r="E113" s="101"/>
      <c r="F113" s="104">
        <f t="shared" si="83"/>
        <v>5.4477814373753475</v>
      </c>
      <c r="G113" s="22"/>
      <c r="H113" s="99">
        <v>4.8136004035430249</v>
      </c>
      <c r="I113" s="100">
        <v>3.6148076979222963</v>
      </c>
      <c r="J113" s="101"/>
      <c r="K113" s="104">
        <f t="shared" si="84"/>
        <v>8.4284081014653207</v>
      </c>
      <c r="L113" s="22"/>
      <c r="M113" s="147">
        <f t="shared" si="76"/>
        <v>-0.2773731188252655</v>
      </c>
      <c r="N113" s="148">
        <f t="shared" si="77"/>
        <v>-0.45520078656645024</v>
      </c>
      <c r="O113" s="144"/>
      <c r="P113" s="149">
        <f t="shared" si="78"/>
        <v>-0.35364052478329522</v>
      </c>
      <c r="Q113" s="22"/>
    </row>
    <row r="114" spans="2:17" s="20" customFormat="1" ht="14.5" x14ac:dyDescent="0.35">
      <c r="B114" s="103" t="s">
        <v>58</v>
      </c>
      <c r="C114" s="99">
        <v>3.5363929694072977</v>
      </c>
      <c r="D114" s="100">
        <v>0.80169555953634331</v>
      </c>
      <c r="E114" s="101"/>
      <c r="F114" s="104">
        <f t="shared" si="83"/>
        <v>4.3380885289436408</v>
      </c>
      <c r="G114" s="22"/>
      <c r="H114" s="99">
        <v>5.279150381434639</v>
      </c>
      <c r="I114" s="100">
        <v>2.126880493644653</v>
      </c>
      <c r="J114" s="101"/>
      <c r="K114" s="104">
        <f t="shared" si="84"/>
        <v>7.406030875079292</v>
      </c>
      <c r="L114" s="22"/>
      <c r="M114" s="147">
        <f t="shared" si="76"/>
        <v>-0.33012081227239776</v>
      </c>
      <c r="N114" s="148">
        <f t="shared" si="77"/>
        <v>-0.62306506551172225</v>
      </c>
      <c r="O114" s="144"/>
      <c r="P114" s="149">
        <f t="shared" si="78"/>
        <v>-0.41424919742895405</v>
      </c>
      <c r="Q114" s="22"/>
    </row>
    <row r="115" spans="2:17" s="20" customFormat="1" ht="14.5" x14ac:dyDescent="0.35">
      <c r="B115" s="103" t="s">
        <v>59</v>
      </c>
      <c r="C115" s="99">
        <v>113.80856860542849</v>
      </c>
      <c r="D115" s="100">
        <v>91.68756210290671</v>
      </c>
      <c r="E115" s="101"/>
      <c r="F115" s="104">
        <f t="shared" si="83"/>
        <v>205.49613070833522</v>
      </c>
      <c r="G115" s="22"/>
      <c r="H115" s="99">
        <v>180.646056594139</v>
      </c>
      <c r="I115" s="100">
        <v>125.38082765369148</v>
      </c>
      <c r="J115" s="101"/>
      <c r="K115" s="104">
        <f t="shared" si="84"/>
        <v>306.02688424783048</v>
      </c>
      <c r="L115" s="22"/>
      <c r="M115" s="147">
        <f t="shared" si="76"/>
        <v>-0.36999140334890113</v>
      </c>
      <c r="N115" s="148">
        <f t="shared" si="77"/>
        <v>-0.26872741376255205</v>
      </c>
      <c r="O115" s="144"/>
      <c r="P115" s="149">
        <f t="shared" si="78"/>
        <v>-0.32850301301660223</v>
      </c>
      <c r="Q115" s="22"/>
    </row>
    <row r="116" spans="2:17" s="20" customFormat="1" ht="14.5" x14ac:dyDescent="0.35">
      <c r="B116" s="103" t="s">
        <v>60</v>
      </c>
      <c r="C116" s="99">
        <v>6.4689493537261736E-2</v>
      </c>
      <c r="D116" s="100">
        <v>0</v>
      </c>
      <c r="E116" s="101"/>
      <c r="F116" s="104">
        <f t="shared" si="83"/>
        <v>6.4689493537261736E-2</v>
      </c>
      <c r="G116" s="22"/>
      <c r="H116" s="99">
        <v>0.11237973988522076</v>
      </c>
      <c r="I116" s="100">
        <v>0</v>
      </c>
      <c r="J116" s="101"/>
      <c r="K116" s="104">
        <f t="shared" si="84"/>
        <v>0.11237973988522076</v>
      </c>
      <c r="L116" s="22"/>
      <c r="M116" s="147">
        <f t="shared" si="76"/>
        <v>-0.42436694013233645</v>
      </c>
      <c r="N116" s="148" t="str">
        <f t="shared" si="77"/>
        <v/>
      </c>
      <c r="O116" s="144"/>
      <c r="P116" s="149">
        <f t="shared" si="78"/>
        <v>-0.42436694013233645</v>
      </c>
      <c r="Q116" s="22"/>
    </row>
    <row r="117" spans="2:17" s="20" customFormat="1" ht="14.5" x14ac:dyDescent="0.35">
      <c r="B117" s="103" t="s">
        <v>61</v>
      </c>
      <c r="C117" s="99">
        <v>8.2737773528201561</v>
      </c>
      <c r="D117" s="100">
        <v>0.79498344368479057</v>
      </c>
      <c r="E117" s="101"/>
      <c r="F117" s="104">
        <f t="shared" si="83"/>
        <v>9.0687607965049466</v>
      </c>
      <c r="G117" s="22"/>
      <c r="H117" s="99">
        <v>3.2445617045213098</v>
      </c>
      <c r="I117" s="100">
        <v>1.9234276857311343</v>
      </c>
      <c r="J117" s="101"/>
      <c r="K117" s="104">
        <f t="shared" si="84"/>
        <v>5.1679893902524441</v>
      </c>
      <c r="L117" s="22"/>
      <c r="M117" s="147">
        <f t="shared" si="76"/>
        <v>1.5500446921045188</v>
      </c>
      <c r="N117" s="148">
        <f t="shared" si="77"/>
        <v>-0.58668399670944682</v>
      </c>
      <c r="O117" s="144"/>
      <c r="P117" s="149">
        <f t="shared" si="78"/>
        <v>0.75479477833486008</v>
      </c>
      <c r="Q117" s="22"/>
    </row>
    <row r="118" spans="2:17" s="20" customFormat="1" ht="15" thickBot="1" x14ac:dyDescent="0.4">
      <c r="B118" s="105" t="s">
        <v>13</v>
      </c>
      <c r="C118" s="99">
        <v>2429.8346432583985</v>
      </c>
      <c r="D118" s="99">
        <v>455.98014187273748</v>
      </c>
      <c r="E118" s="101"/>
      <c r="F118" s="104">
        <f t="shared" si="83"/>
        <v>2885.814785131136</v>
      </c>
      <c r="G118" s="22"/>
      <c r="H118" s="99">
        <v>2640.1235907752234</v>
      </c>
      <c r="I118" s="99">
        <v>401.28332304762216</v>
      </c>
      <c r="J118" s="101"/>
      <c r="K118" s="104">
        <f t="shared" si="84"/>
        <v>3041.4069138228456</v>
      </c>
      <c r="L118" s="22"/>
      <c r="M118" s="142">
        <f t="shared" si="76"/>
        <v>-7.9651175517536088E-2</v>
      </c>
      <c r="N118" s="142">
        <f t="shared" si="77"/>
        <v>0.1363047395284458</v>
      </c>
      <c r="O118" s="144"/>
      <c r="P118" s="146">
        <f t="shared" si="78"/>
        <v>-5.1157945352383161E-2</v>
      </c>
      <c r="Q118" s="22"/>
    </row>
    <row r="119" spans="2:17" s="20" customFormat="1" ht="15" thickBot="1" x14ac:dyDescent="0.4">
      <c r="B119" s="73" t="s">
        <v>7</v>
      </c>
      <c r="C119" s="106">
        <f>S49</f>
        <v>485.9086608569591</v>
      </c>
      <c r="D119" s="97">
        <f>S76</f>
        <v>108.5651502528323</v>
      </c>
      <c r="E119" s="76"/>
      <c r="F119" s="77">
        <f>SUM(F120:F122)</f>
        <v>594.47381110979143</v>
      </c>
      <c r="G119" s="22"/>
      <c r="H119" s="106">
        <f>R49</f>
        <v>381.9661144373016</v>
      </c>
      <c r="I119" s="97">
        <f>R76</f>
        <v>67.350893499820117</v>
      </c>
      <c r="J119" s="76"/>
      <c r="K119" s="77">
        <f>SUM(K120:K122)</f>
        <v>449.31700793712173</v>
      </c>
      <c r="L119" s="22"/>
      <c r="M119" s="150">
        <f t="shared" si="76"/>
        <v>0.27212504588995245</v>
      </c>
      <c r="N119" s="141">
        <f t="shared" si="77"/>
        <v>0.61193333319508603</v>
      </c>
      <c r="O119" s="125"/>
      <c r="P119" s="126">
        <f t="shared" si="78"/>
        <v>0.32306100282983996</v>
      </c>
      <c r="Q119" s="22"/>
    </row>
    <row r="120" spans="2:17" s="20" customFormat="1" ht="14.5" x14ac:dyDescent="0.35">
      <c r="B120" s="98" t="s">
        <v>62</v>
      </c>
      <c r="C120" s="107">
        <v>395.30483001319215</v>
      </c>
      <c r="D120" s="108">
        <v>85.804284476861653</v>
      </c>
      <c r="E120" s="101"/>
      <c r="F120" s="104">
        <f t="shared" ref="F120:F127" si="85">C120+D120</f>
        <v>481.1091144900538</v>
      </c>
      <c r="G120" s="22"/>
      <c r="H120" s="107">
        <v>289.31581808464352</v>
      </c>
      <c r="I120" s="108">
        <v>50.876146878522462</v>
      </c>
      <c r="J120" s="101"/>
      <c r="K120" s="104">
        <f t="shared" ref="K120:K122" si="86">H120+I120</f>
        <v>340.19196496316601</v>
      </c>
      <c r="L120" s="22"/>
      <c r="M120" s="151">
        <f t="shared" si="76"/>
        <v>0.36634364698835786</v>
      </c>
      <c r="N120" s="152">
        <f t="shared" si="77"/>
        <v>0.6865326826290028</v>
      </c>
      <c r="O120" s="144"/>
      <c r="P120" s="146">
        <f t="shared" si="78"/>
        <v>0.41422833000228398</v>
      </c>
      <c r="Q120" s="22"/>
    </row>
    <row r="121" spans="2:17" s="20" customFormat="1" ht="14.5" x14ac:dyDescent="0.35">
      <c r="B121" s="103" t="s">
        <v>63</v>
      </c>
      <c r="C121" s="107">
        <v>31.708622899520449</v>
      </c>
      <c r="D121" s="108">
        <v>20.353030700408372</v>
      </c>
      <c r="E121" s="101"/>
      <c r="F121" s="104">
        <f t="shared" si="85"/>
        <v>52.061653599928817</v>
      </c>
      <c r="G121" s="22"/>
      <c r="H121" s="107">
        <v>22.012735163187585</v>
      </c>
      <c r="I121" s="108">
        <v>14.764392838043172</v>
      </c>
      <c r="J121" s="101"/>
      <c r="K121" s="104">
        <f t="shared" si="86"/>
        <v>36.777128001230757</v>
      </c>
      <c r="L121" s="22"/>
      <c r="M121" s="151">
        <f t="shared" si="76"/>
        <v>0.44046719612324803</v>
      </c>
      <c r="N121" s="152">
        <f t="shared" si="77"/>
        <v>0.37852134684231964</v>
      </c>
      <c r="O121" s="144"/>
      <c r="P121" s="146">
        <f t="shared" si="78"/>
        <v>0.41559867312604082</v>
      </c>
      <c r="Q121" s="22"/>
    </row>
    <row r="122" spans="2:17" s="20" customFormat="1" ht="15" thickBot="1" x14ac:dyDescent="0.4">
      <c r="B122" s="105" t="s">
        <v>64</v>
      </c>
      <c r="C122" s="107">
        <v>58.895207944246486</v>
      </c>
      <c r="D122" s="108">
        <v>2.4078350755622719</v>
      </c>
      <c r="E122" s="101"/>
      <c r="F122" s="104">
        <f t="shared" si="85"/>
        <v>61.303043019808761</v>
      </c>
      <c r="G122" s="22"/>
      <c r="H122" s="107">
        <v>70.637561189470489</v>
      </c>
      <c r="I122" s="108">
        <v>1.7103537832544804</v>
      </c>
      <c r="J122" s="101"/>
      <c r="K122" s="104">
        <f t="shared" si="86"/>
        <v>72.347914972724965</v>
      </c>
      <c r="L122" s="22"/>
      <c r="M122" s="151">
        <f t="shared" si="76"/>
        <v>-0.16623384283791443</v>
      </c>
      <c r="N122" s="152">
        <f t="shared" si="77"/>
        <v>0.40779942672481262</v>
      </c>
      <c r="O122" s="144"/>
      <c r="P122" s="146">
        <f t="shared" si="78"/>
        <v>-0.15266330698099728</v>
      </c>
      <c r="Q122" s="22"/>
    </row>
    <row r="123" spans="2:17" s="20" customFormat="1" ht="15" thickBot="1" x14ac:dyDescent="0.4">
      <c r="B123" s="73" t="s">
        <v>65</v>
      </c>
      <c r="C123" s="106">
        <f>S50</f>
        <v>779.52184511278676</v>
      </c>
      <c r="D123" s="109">
        <f>S77</f>
        <v>90.242464998299653</v>
      </c>
      <c r="E123" s="110"/>
      <c r="F123" s="111">
        <f>SUM(F124:F126)</f>
        <v>869.76431011108639</v>
      </c>
      <c r="G123" s="22"/>
      <c r="H123" s="106">
        <f>R50</f>
        <v>615.9603861222655</v>
      </c>
      <c r="I123" s="109">
        <f>R77</f>
        <v>73.629785267795825</v>
      </c>
      <c r="J123" s="110"/>
      <c r="K123" s="111">
        <f>SUM(K124:K126)</f>
        <v>689.59017139006141</v>
      </c>
      <c r="L123" s="22"/>
      <c r="M123" s="150">
        <f t="shared" si="76"/>
        <v>0.26553892535234391</v>
      </c>
      <c r="N123" s="153">
        <f t="shared" si="77"/>
        <v>0.22562444899278922</v>
      </c>
      <c r="O123" s="154"/>
      <c r="P123" s="155">
        <f t="shared" si="78"/>
        <v>0.26127712690253935</v>
      </c>
      <c r="Q123" s="22"/>
    </row>
    <row r="124" spans="2:17" s="20" customFormat="1" ht="14.5" x14ac:dyDescent="0.35">
      <c r="B124" s="98" t="s">
        <v>66</v>
      </c>
      <c r="C124" s="107">
        <v>106.65176511236049</v>
      </c>
      <c r="D124" s="108">
        <v>4.0076846513299813</v>
      </c>
      <c r="E124" s="101"/>
      <c r="F124" s="104">
        <f t="shared" si="85"/>
        <v>110.65944976369047</v>
      </c>
      <c r="G124" s="22"/>
      <c r="H124" s="107">
        <v>216.25999439878774</v>
      </c>
      <c r="I124" s="108">
        <v>20.763014761570407</v>
      </c>
      <c r="J124" s="101"/>
      <c r="K124" s="104">
        <f t="shared" ref="K124:K127" si="87">H124+I124</f>
        <v>237.02300916035816</v>
      </c>
      <c r="L124" s="22"/>
      <c r="M124" s="151">
        <f t="shared" si="76"/>
        <v>-0.50683543940312648</v>
      </c>
      <c r="N124" s="152">
        <f t="shared" si="77"/>
        <v>-0.80697963675546402</v>
      </c>
      <c r="O124" s="144"/>
      <c r="P124" s="146">
        <f t="shared" si="78"/>
        <v>-0.5331278167647272</v>
      </c>
      <c r="Q124" s="22"/>
    </row>
    <row r="125" spans="2:17" s="20" customFormat="1" ht="14.5" x14ac:dyDescent="0.35">
      <c r="B125" s="103" t="s">
        <v>67</v>
      </c>
      <c r="C125" s="107">
        <v>151.36470351410094</v>
      </c>
      <c r="D125" s="108">
        <v>48.133177068168244</v>
      </c>
      <c r="E125" s="101"/>
      <c r="F125" s="104">
        <f t="shared" si="85"/>
        <v>199.49788058226918</v>
      </c>
      <c r="G125" s="22"/>
      <c r="H125" s="107">
        <v>157.3317908049076</v>
      </c>
      <c r="I125" s="108">
        <v>26.99001274602464</v>
      </c>
      <c r="J125" s="101"/>
      <c r="K125" s="104">
        <f t="shared" si="87"/>
        <v>184.32180355093223</v>
      </c>
      <c r="L125" s="22"/>
      <c r="M125" s="151">
        <f t="shared" si="76"/>
        <v>-3.792677411398615E-2</v>
      </c>
      <c r="N125" s="152">
        <f t="shared" si="77"/>
        <v>0.78336992728014865</v>
      </c>
      <c r="O125" s="144"/>
      <c r="P125" s="146">
        <f t="shared" si="78"/>
        <v>8.233468173038716E-2</v>
      </c>
      <c r="Q125" s="22"/>
    </row>
    <row r="126" spans="2:17" s="20" customFormat="1" ht="15" thickBot="1" x14ac:dyDescent="0.4">
      <c r="B126" s="105" t="s">
        <v>68</v>
      </c>
      <c r="C126" s="107">
        <v>521.5053764863253</v>
      </c>
      <c r="D126" s="108">
        <v>38.10160327880142</v>
      </c>
      <c r="E126" s="101"/>
      <c r="F126" s="104">
        <f t="shared" si="85"/>
        <v>559.60697976512677</v>
      </c>
      <c r="G126" s="22"/>
      <c r="H126" s="107">
        <v>242.36860091857019</v>
      </c>
      <c r="I126" s="108">
        <v>25.876757760200768</v>
      </c>
      <c r="J126" s="101"/>
      <c r="K126" s="104">
        <f t="shared" si="87"/>
        <v>268.24535867877097</v>
      </c>
      <c r="L126" s="22"/>
      <c r="M126" s="151">
        <f t="shared" si="76"/>
        <v>1.151703539607996</v>
      </c>
      <c r="N126" s="152">
        <f t="shared" si="77"/>
        <v>0.47242570463765099</v>
      </c>
      <c r="O126" s="144"/>
      <c r="P126" s="146">
        <f t="shared" si="78"/>
        <v>1.0861758150129526</v>
      </c>
      <c r="Q126" s="22"/>
    </row>
    <row r="127" spans="2:17" s="20" customFormat="1" ht="15" thickBot="1" x14ac:dyDescent="0.4">
      <c r="B127" s="73" t="s">
        <v>69</v>
      </c>
      <c r="C127" s="106">
        <f>S51</f>
        <v>207.20832621460761</v>
      </c>
      <c r="D127" s="109">
        <f>S78</f>
        <v>30.050284009129257</v>
      </c>
      <c r="E127" s="110"/>
      <c r="F127" s="111">
        <f t="shared" si="85"/>
        <v>237.25861022373687</v>
      </c>
      <c r="G127" s="22"/>
      <c r="H127" s="106">
        <f>R51</f>
        <v>227.25268160461326</v>
      </c>
      <c r="I127" s="109">
        <f>R78</f>
        <v>17.816675796462736</v>
      </c>
      <c r="J127" s="110"/>
      <c r="K127" s="111">
        <f t="shared" si="87"/>
        <v>245.06935740107599</v>
      </c>
      <c r="L127" s="22"/>
      <c r="M127" s="150">
        <f t="shared" si="76"/>
        <v>-8.8202943298508196E-2</v>
      </c>
      <c r="N127" s="153">
        <f t="shared" si="77"/>
        <v>0.68663808852015706</v>
      </c>
      <c r="O127" s="154"/>
      <c r="P127" s="155">
        <f t="shared" si="78"/>
        <v>-3.1871578153103042E-2</v>
      </c>
      <c r="Q127" s="22"/>
    </row>
    <row r="128" spans="2:17" s="20" customFormat="1" ht="15" thickBot="1" x14ac:dyDescent="0.4">
      <c r="B128" s="73" t="s">
        <v>70</v>
      </c>
      <c r="C128" s="106">
        <f>C94+C103+C119+C123+C127</f>
        <v>48192.194798069417</v>
      </c>
      <c r="D128" s="106">
        <f>D94+D103+D119+D123+D127</f>
        <v>8170.625126147459</v>
      </c>
      <c r="E128" s="110"/>
      <c r="F128" s="111">
        <f>SUM(F127,F123,F119,F103,F94)</f>
        <v>56362.819924216892</v>
      </c>
      <c r="G128" s="22"/>
      <c r="H128" s="106">
        <f>H94+H103+H119+H123+H127</f>
        <v>47088.37543435298</v>
      </c>
      <c r="I128" s="106">
        <f>I94+I103+I119+I123+I127</f>
        <v>6313.7728182242854</v>
      </c>
      <c r="J128" s="110"/>
      <c r="K128" s="111">
        <f>SUM(K127,K123,K119,K103,K94)</f>
        <v>53402.148252577259</v>
      </c>
      <c r="L128" s="22"/>
      <c r="M128" s="150">
        <f t="shared" si="76"/>
        <v>2.344144077035093E-2</v>
      </c>
      <c r="N128" s="153">
        <f t="shared" si="77"/>
        <v>0.29409552123311955</v>
      </c>
      <c r="O128" s="154"/>
      <c r="P128" s="155">
        <f t="shared" si="78"/>
        <v>5.5441059367808299E-2</v>
      </c>
      <c r="Q128" s="22"/>
    </row>
    <row r="129" spans="2:17" s="20" customFormat="1" ht="15" thickBot="1" x14ac:dyDescent="0.4">
      <c r="B129" s="73" t="s">
        <v>71</v>
      </c>
      <c r="C129" s="106">
        <f>S55</f>
        <v>334.74821968485111</v>
      </c>
      <c r="D129" s="109">
        <f>S82</f>
        <v>30.870929367349117</v>
      </c>
      <c r="E129" s="110"/>
      <c r="F129" s="111">
        <f>S27</f>
        <v>365.61914905220021</v>
      </c>
      <c r="G129" s="22"/>
      <c r="H129" s="106">
        <f>R55</f>
        <v>284.84041984444445</v>
      </c>
      <c r="I129" s="109">
        <f>R82</f>
        <v>12.987701378229941</v>
      </c>
      <c r="J129" s="110"/>
      <c r="K129" s="111">
        <f>R27</f>
        <v>297.82812122267438</v>
      </c>
      <c r="L129" s="22"/>
      <c r="M129" s="150">
        <f t="shared" si="76"/>
        <v>0.17521319434812677</v>
      </c>
      <c r="N129" s="153">
        <f t="shared" si="77"/>
        <v>1.376935569145064</v>
      </c>
      <c r="O129" s="154"/>
      <c r="P129" s="155">
        <f t="shared" si="78"/>
        <v>0.22761795478285651</v>
      </c>
      <c r="Q129" s="22"/>
    </row>
    <row r="130" spans="2:17" s="20" customFormat="1" ht="14.5" x14ac:dyDescent="0.35">
      <c r="B130" s="98" t="s">
        <v>72</v>
      </c>
      <c r="C130" s="112"/>
      <c r="D130" s="113"/>
      <c r="E130" s="101"/>
      <c r="F130" s="102">
        <v>25.785754514370911</v>
      </c>
      <c r="G130" s="22"/>
      <c r="H130" s="112"/>
      <c r="I130" s="113"/>
      <c r="J130" s="101"/>
      <c r="K130" s="102">
        <v>13.22586905808194</v>
      </c>
      <c r="L130" s="22"/>
      <c r="M130" s="156" t="str">
        <f t="shared" si="76"/>
        <v/>
      </c>
      <c r="N130" s="157" t="str">
        <f t="shared" si="77"/>
        <v/>
      </c>
      <c r="O130" s="144"/>
      <c r="P130" s="145">
        <f t="shared" si="78"/>
        <v>0.9496453806650984</v>
      </c>
      <c r="Q130" s="22"/>
    </row>
    <row r="131" spans="2:17" s="20" customFormat="1" ht="14.5" x14ac:dyDescent="0.35">
      <c r="B131" s="103" t="s">
        <v>73</v>
      </c>
      <c r="C131" s="114"/>
      <c r="D131" s="115"/>
      <c r="E131" s="116"/>
      <c r="F131" s="102">
        <v>165.9374475822504</v>
      </c>
      <c r="G131" s="22"/>
      <c r="H131" s="114"/>
      <c r="I131" s="115"/>
      <c r="J131" s="116"/>
      <c r="K131" s="102">
        <v>243.58041949740422</v>
      </c>
      <c r="L131" s="22"/>
      <c r="M131" s="158" t="str">
        <f t="shared" si="76"/>
        <v/>
      </c>
      <c r="N131" s="159" t="str">
        <f t="shared" si="77"/>
        <v/>
      </c>
      <c r="O131" s="160"/>
      <c r="P131" s="145">
        <f t="shared" si="78"/>
        <v>-0.31875703340752826</v>
      </c>
      <c r="Q131" s="22"/>
    </row>
    <row r="132" spans="2:17" s="20" customFormat="1" ht="14.5" x14ac:dyDescent="0.35">
      <c r="B132" s="103" t="s">
        <v>74</v>
      </c>
      <c r="C132" s="114"/>
      <c r="D132" s="115"/>
      <c r="E132" s="116"/>
      <c r="F132" s="102">
        <v>136.71947594273971</v>
      </c>
      <c r="G132" s="22"/>
      <c r="H132" s="114"/>
      <c r="I132" s="115"/>
      <c r="J132" s="116"/>
      <c r="K132" s="102">
        <v>28.637917839272518</v>
      </c>
      <c r="L132" s="22"/>
      <c r="M132" s="158" t="str">
        <f t="shared" si="76"/>
        <v/>
      </c>
      <c r="N132" s="159" t="str">
        <f t="shared" si="77"/>
        <v/>
      </c>
      <c r="O132" s="160"/>
      <c r="P132" s="145">
        <f t="shared" si="78"/>
        <v>3.7740717991463013</v>
      </c>
      <c r="Q132" s="22"/>
    </row>
    <row r="133" spans="2:17" s="20" customFormat="1" ht="14.5" x14ac:dyDescent="0.35">
      <c r="B133" s="103" t="s">
        <v>75</v>
      </c>
      <c r="C133" s="114"/>
      <c r="D133" s="115"/>
      <c r="E133" s="116"/>
      <c r="F133" s="102">
        <v>0</v>
      </c>
      <c r="G133" s="22"/>
      <c r="H133" s="114"/>
      <c r="I133" s="115"/>
      <c r="J133" s="116"/>
      <c r="K133" s="102">
        <v>0</v>
      </c>
      <c r="L133" s="22"/>
      <c r="M133" s="158" t="str">
        <f t="shared" si="76"/>
        <v/>
      </c>
      <c r="N133" s="159" t="str">
        <f t="shared" si="77"/>
        <v/>
      </c>
      <c r="O133" s="160"/>
      <c r="P133" s="145" t="str">
        <f t="shared" si="78"/>
        <v/>
      </c>
      <c r="Q133" s="22"/>
    </row>
    <row r="134" spans="2:17" s="20" customFormat="1" ht="15" thickBot="1" x14ac:dyDescent="0.4">
      <c r="B134" s="105" t="s">
        <v>12</v>
      </c>
      <c r="C134" s="117"/>
      <c r="D134" s="118"/>
      <c r="E134" s="116"/>
      <c r="F134" s="102">
        <v>37.176471012839272</v>
      </c>
      <c r="G134" s="22"/>
      <c r="H134" s="117"/>
      <c r="I134" s="118"/>
      <c r="J134" s="116"/>
      <c r="K134" s="102">
        <v>12.383914827915699</v>
      </c>
      <c r="L134" s="22"/>
      <c r="M134" s="161" t="str">
        <f t="shared" si="76"/>
        <v/>
      </c>
      <c r="N134" s="162" t="str">
        <f t="shared" si="77"/>
        <v/>
      </c>
      <c r="O134" s="160"/>
      <c r="P134" s="145">
        <f t="shared" si="78"/>
        <v>2.0019966649832277</v>
      </c>
      <c r="Q134" s="22"/>
    </row>
    <row r="135" spans="2:17" s="20" customFormat="1" ht="15" thickBot="1" x14ac:dyDescent="0.4">
      <c r="B135" s="73" t="s">
        <v>76</v>
      </c>
      <c r="C135" s="106">
        <f>C128+C129</f>
        <v>48526.943017754267</v>
      </c>
      <c r="D135" s="106">
        <f>D128+D129</f>
        <v>8201.4960555148082</v>
      </c>
      <c r="E135" s="110"/>
      <c r="F135" s="111">
        <f>F129+F128</f>
        <v>56728.439073269095</v>
      </c>
      <c r="G135" s="22"/>
      <c r="H135" s="106">
        <f>H128+H129</f>
        <v>47373.215854197428</v>
      </c>
      <c r="I135" s="106">
        <f>I128+I129</f>
        <v>6326.7605196025152</v>
      </c>
      <c r="J135" s="110"/>
      <c r="K135" s="106">
        <f>K128+K129</f>
        <v>53699.976373799931</v>
      </c>
      <c r="L135" s="22"/>
      <c r="M135" s="150">
        <f t="shared" si="76"/>
        <v>2.4353997142767758E-2</v>
      </c>
      <c r="N135" s="153">
        <f t="shared" si="77"/>
        <v>0.29631839708547636</v>
      </c>
      <c r="O135" s="154"/>
      <c r="P135" s="155">
        <f t="shared" si="78"/>
        <v>5.6395978247520073E-2</v>
      </c>
      <c r="Q135" s="22"/>
    </row>
    <row r="136" spans="2:17" x14ac:dyDescent="0.25">
      <c r="F136" s="165"/>
      <c r="G136" s="166"/>
      <c r="H136" s="166"/>
      <c r="I136" s="166"/>
      <c r="J136" s="166"/>
      <c r="K136" s="165"/>
      <c r="L136" s="166"/>
      <c r="M136" s="166"/>
      <c r="N136" s="166"/>
    </row>
    <row r="137" spans="2:17" x14ac:dyDescent="0.25">
      <c r="F137" s="165"/>
      <c r="G137" s="166"/>
      <c r="H137" s="166"/>
      <c r="I137" s="166"/>
      <c r="J137" s="166"/>
      <c r="K137" s="165"/>
      <c r="L137" s="166"/>
      <c r="M137" s="166"/>
      <c r="N137" s="166"/>
    </row>
    <row r="138" spans="2:17" x14ac:dyDescent="0.25">
      <c r="F138" s="164"/>
      <c r="K138" s="164"/>
    </row>
  </sheetData>
  <mergeCells count="15">
    <mergeCell ref="C90:F90"/>
    <mergeCell ref="H90:K90"/>
    <mergeCell ref="M90:P90"/>
    <mergeCell ref="C33:F33"/>
    <mergeCell ref="C61:F61"/>
    <mergeCell ref="C6:F6"/>
    <mergeCell ref="R33:U33"/>
    <mergeCell ref="R61:U61"/>
    <mergeCell ref="R6:U6"/>
    <mergeCell ref="M6:P6"/>
    <mergeCell ref="M33:P33"/>
    <mergeCell ref="M61:P61"/>
    <mergeCell ref="H33:K33"/>
    <mergeCell ref="H61:K61"/>
    <mergeCell ref="H6:K6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7514BAA2-2D13-47D3-8D0C-083EBDF0BAF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summary_06 2025</vt:lpstr>
      <vt:lpstr>szacunek rynku_06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Joanna Pruchnik</cp:lastModifiedBy>
  <dcterms:created xsi:type="dcterms:W3CDTF">2025-01-15T14:40:47Z</dcterms:created>
  <dcterms:modified xsi:type="dcterms:W3CDTF">2025-08-07T14:28:58Z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