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0-2025\"/>
    </mc:Choice>
  </mc:AlternateContent>
  <xr:revisionPtr revIDLastSave="0" documentId="8_{D03D3A0A-2793-465C-B6C3-B3DDA94F0B50}" xr6:coauthVersionLast="47" xr6:coauthVersionMax="47" xr10:uidLastSave="{00000000-0000-0000-0000-000000000000}"/>
  <bookViews>
    <workbookView xWindow="28680" yWindow="-120" windowWidth="29040" windowHeight="15720" activeTab="1" xr2:uid="{71ECBEB2-2687-4063-A597-2A60A7860EDA}"/>
  </bookViews>
  <sheets>
    <sheet name="summary_10 2025" sheetId="4" r:id="rId1"/>
    <sheet name="szacunek rynku_10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3" l="1"/>
  <c r="H25" i="3"/>
  <c r="I24" i="3"/>
  <c r="H24" i="3"/>
  <c r="I23" i="3"/>
  <c r="H23" i="3"/>
  <c r="I22" i="3"/>
  <c r="H22" i="3"/>
  <c r="I21" i="3"/>
  <c r="H21" i="3"/>
  <c r="I20" i="3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I19" i="3" l="1"/>
  <c r="D13" i="3"/>
  <c r="H10" i="3"/>
  <c r="H27" i="3" s="1"/>
  <c r="I10" i="3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M7" i="3"/>
  <c r="M63" i="3"/>
  <c r="K15" i="4" l="1"/>
  <c r="K14" i="4"/>
  <c r="K13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C63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D64" i="3"/>
  <c r="C64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0" i="4" l="1"/>
  <c r="N115" i="4"/>
  <c r="N114" i="4"/>
  <c r="N113" i="4"/>
  <c r="N112" i="4"/>
  <c r="N111" i="4"/>
  <c r="J111" i="4"/>
  <c r="J15" i="4"/>
  <c r="J14" i="4"/>
  <c r="J13" i="4"/>
  <c r="N79" i="4"/>
  <c r="N78" i="4"/>
  <c r="N77" i="4"/>
  <c r="J77" i="4"/>
  <c r="N46" i="4"/>
  <c r="N45" i="4"/>
  <c r="N44" i="4"/>
  <c r="N43" i="4"/>
  <c r="J43" i="4"/>
  <c r="J44" i="4" s="1"/>
  <c r="N10" i="4"/>
  <c r="N11" i="4" s="1"/>
  <c r="K48" i="3" l="1"/>
  <c r="K49" i="3"/>
  <c r="K50" i="3"/>
  <c r="K75" i="3"/>
  <c r="K76" i="3"/>
  <c r="K77" i="3"/>
  <c r="K78" i="3"/>
  <c r="K20" i="3"/>
  <c r="K21" i="3"/>
  <c r="K22" i="3"/>
  <c r="J112" i="4"/>
  <c r="J78" i="4"/>
  <c r="J11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H7" i="3"/>
  <c r="K80" i="3"/>
  <c r="K79" i="3"/>
  <c r="K74" i="3"/>
  <c r="K73" i="3"/>
  <c r="K72" i="3"/>
  <c r="K71" i="3"/>
  <c r="K70" i="3"/>
  <c r="K69" i="3"/>
  <c r="K68" i="3"/>
  <c r="K67" i="3"/>
  <c r="K66" i="3"/>
  <c r="K64" i="3"/>
  <c r="I64" i="3"/>
  <c r="H64" i="3"/>
  <c r="H63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<sst xmlns="http://schemas.openxmlformats.org/spreadsheetml/2006/main" count="108" uniqueCount="53">
  <si>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</si>
  <si>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</si>
  <si>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</si>
  <si>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</si>
  <si>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</si>
  <si>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</si>
  <si>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</si>
  <si>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</si>
  <si>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</si>
  <si>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</si>
  <si>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</si>
  <si>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</si>
  <si>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</si>
  <si>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</si>
  <si>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</si>
  <si>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</si>
  <si>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</si>
  <si>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</si>
  <si>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</si>
  <si>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</si>
  <si>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</si>
  <si>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</si>
  <si>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</si>
  <si>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</si>
  <si>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</si>
  <si>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</si>
  <si>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</si>
  <si>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</si>
  <si>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</si>
  <si>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</si>
  <si>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</si>
  <si>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</si>
  <si>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</si>
  <si>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</si>
  <si>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</si>
  <si>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</si>
  <si>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07 2025</t>
  </si>
  <si>
    <t>I-IX 2025 vs I-IX 2024</t>
  </si>
  <si>
    <t>X 2025 vs X 2024</t>
  </si>
  <si>
    <t>I-X 2025 vs I-X 2024</t>
  </si>
  <si>
    <t>I-IX 2024</t>
  </si>
  <si>
    <t>I-IX 2025</t>
  </si>
  <si>
    <t>I-IX 25/
I-IX 24</t>
  </si>
  <si>
    <t>X 2024</t>
  </si>
  <si>
    <t>X 2025</t>
  </si>
  <si>
    <t>X 2025/
X 2024</t>
  </si>
  <si>
    <t>I-X 2024</t>
  </si>
  <si>
    <t>I-X 2025</t>
  </si>
  <si>
    <t>I-X 25/
I-X 24</t>
  </si>
  <si>
    <t>FINANSOWANIE POJAZDÓW LEKKICH - październik 2025r. 
Łączne finansowanie leasingiem i pożyczką</t>
  </si>
  <si>
    <t>FINANSOWANIE POJAZDÓW CIĘŻKICH - październik 2025r. 
Łączne finansowanie leasingiem i pożyczką</t>
  </si>
  <si>
    <t>FINANSOWANIE MASZYN - październik 2025r. 
Łączne finansowanie leasingiem i pożyczką</t>
  </si>
  <si>
    <t>Związek Polskiego Leasingu , Warszawa 20-11-2025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</si>
</sst>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2" fillId="0" borderId="0" xfId="1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10/2025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2025'!$I$10:$I$11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'summary_10 2025'!$J$10:$J$11</c:f>
              <c:numCache>
                <c:formatCode>0.0%</c:formatCode>
                <c:ptCount val="2"/>
                <c:pt idx="0">
                  <c:v>0.93978500059671122</c:v>
                </c:pt>
                <c:pt idx="1">
                  <c:v>6.0214999403288783E-2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10/2025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2025'!$M$10:$M$11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'summary_10 2025'!$N$10:$N$11</c:f>
              <c:numCache>
                <c:formatCode>0.0%</c:formatCode>
                <c:ptCount val="2"/>
                <c:pt idx="0">
                  <c:v>0.86496573872105997</c:v>
                </c:pt>
                <c:pt idx="1">
                  <c:v>0.13503426127894003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10/2025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2025'!$I$43:$I$44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'summary_10 2025'!$J$43:$J$44</c:f>
              <c:numCache>
                <c:formatCode>0.0%</c:formatCode>
                <c:ptCount val="2"/>
                <c:pt idx="0">
                  <c:v>0.89868862275406314</c:v>
                </c:pt>
                <c:pt idx="1">
                  <c:v>0.10131137724593686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10/2025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9.2926204235984161E-2"/>
          <c:y val="2.1613847022212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2025'!$M$43:$M$46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'summary_10 2025'!$N$43:$N$46</c:f>
              <c:numCache>
                <c:formatCode>0.0%</c:formatCode>
                <c:ptCount val="4"/>
                <c:pt idx="0">
                  <c:v>0.25192166237433772</c:v>
                </c:pt>
                <c:pt idx="1">
                  <c:v>0.51023861107650059</c:v>
                </c:pt>
                <c:pt idx="2">
                  <c:v>0.18141115762401355</c:v>
                </c:pt>
                <c:pt idx="3">
                  <c:v>5.6428568925147991E-2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10/2025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2025'!$I$77:$I$78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'summary_10 2025'!$J$77:$J$78</c:f>
              <c:numCache>
                <c:formatCode>0%</c:formatCode>
                <c:ptCount val="2"/>
                <c:pt idx="0">
                  <c:v>0.70089679294574636</c:v>
                </c:pt>
                <c:pt idx="1">
                  <c:v>0.29910320705425364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10/2025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2025'!$M$77:$M$80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'summary_10 2025'!$N$77:$N$80</c:f>
              <c:numCache>
                <c:formatCode>0%</c:formatCode>
                <c:ptCount val="4"/>
                <c:pt idx="0">
                  <c:v>0.12912043706229315</c:v>
                </c:pt>
                <c:pt idx="1">
                  <c:v>0.19525928376397478</c:v>
                </c:pt>
                <c:pt idx="2">
                  <c:v>0.67562027917373213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10/2025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2025'!$I$111:$I$112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'summary_10 2025'!$J$111:$J$112</c:f>
              <c:numCache>
                <c:formatCode>0.0%</c:formatCode>
                <c:ptCount val="2"/>
                <c:pt idx="0">
                  <c:v>0.86738529880504012</c:v>
                </c:pt>
                <c:pt idx="1">
                  <c:v>0.13261470119495988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10/2025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'summary_10 2025'!$M$111:$M$115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'summary_10 2025'!$N$111:$N$115</c:f>
              <c:numCache>
                <c:formatCode>0.0%</c:formatCode>
                <c:ptCount val="5"/>
                <c:pt idx="0">
                  <c:v>0.54373275028398471</c:v>
                </c:pt>
                <c:pt idx="1">
                  <c:v>0.18621343725968664</c:v>
                </c:pt>
                <c:pt idx="2">
                  <c:v>0.23274921561778569</c:v>
                </c:pt>
                <c:pt idx="3">
                  <c:v>1.1246005419402558E-2</c:v>
                </c:pt>
                <c:pt idx="4">
                  <c:v>2.6058591419140336E-2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rynku_10 2025'!$B$38,'szacunek rynku_10 2025'!$B$47:$B$53)</c15:sqref>
                  </c15:fullRef>
                </c:ext>
              </c:extLst>
              <c:f>('szacunek rynku_10 2025'!$B$38,'szacunek rynku_10 2025'!$B$47,'szacunek rynku_10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rynku_10 2025'!$H$38,'szacunek rynku_10 2025'!$H$47:$H$53)</c15:sqref>
                  </c15:fullRef>
                </c:ext>
              </c:extLst>
              <c:f>('szacunek rynku_10 2025'!$H$38,'szacunek rynku_10 2025'!$H$47,'szacunek rynku_10 2025'!$H$51:$H$53)</c:f>
              <c:numCache>
                <c:formatCode>#,##0</c:formatCode>
                <c:ptCount val="5"/>
                <c:pt idx="0">
                  <c:v>7099.3025040091907</c:v>
                </c:pt>
                <c:pt idx="1">
                  <c:v>1589.6487152512868</c:v>
                </c:pt>
                <c:pt idx="2">
                  <c:v>92.621752934174339</c:v>
                </c:pt>
                <c:pt idx="3">
                  <c:v>97.50147665057581</c:v>
                </c:pt>
                <c:pt idx="4">
                  <c:v>35.167302768453141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rynku_10 2025'!$B$65,'szacunek rynku_10 2025'!$B$74:$B$80)</c15:sqref>
                  </c15:fullRef>
                </c:ext>
              </c:extLst>
              <c:f>('szacunek rynku_10 2025'!$B$65,'szacunek rynku_10 2025'!$B$74,'szacunek rynku_10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rynku_10 2025'!$H$65,'szacunek rynku_10 2025'!$H$74:$H$80)</c15:sqref>
                  </c15:fullRef>
                </c:ext>
              </c:extLst>
              <c:f>('szacunek rynku_10 2025'!$H$65,'szacunek rynku_10 2025'!$H$74,'szacunek rynku_10 2025'!$H$78:$H$80)</c:f>
              <c:numCache>
                <c:formatCode>#,##0</c:formatCode>
                <c:ptCount val="5"/>
                <c:pt idx="0">
                  <c:v>442.72076913074307</c:v>
                </c:pt>
                <c:pt idx="1">
                  <c:v>668.85992529932162</c:v>
                </c:pt>
                <c:pt idx="2">
                  <c:v>15.287740055093826</c:v>
                </c:pt>
                <c:pt idx="3">
                  <c:v>3.0578989479335483</c:v>
                </c:pt>
                <c:pt idx="4">
                  <c:v>68.472799148290179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rynku_10 2025'!$B$10,'szacunek rynku_10 2025'!$B$19:$B$25)</c15:sqref>
                  </c15:fullRef>
                </c:ext>
              </c:extLst>
              <c:f>('szacunek rynku_10 2025'!$B$10,'szacunek rynku_10 2025'!$B$19,'szacunek rynku_10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rynku_10 2025'!$H$10,'szacunek rynku_10 2025'!$H$19:$H$25)</c15:sqref>
                  </c15:fullRef>
                </c:ext>
              </c:extLst>
              <c:f>('szacunek rynku_10 2025'!$H$10,'szacunek rynku_10 2025'!$H$19,'szacunek rynku_10 2025'!$H$23:$H$25)</c:f>
              <c:numCache>
                <c:formatCode>#,##0</c:formatCode>
                <c:ptCount val="5"/>
                <c:pt idx="0">
                  <c:v>7542.0232731399337</c:v>
                </c:pt>
                <c:pt idx="1">
                  <c:v>2258.5086405506086</c:v>
                </c:pt>
                <c:pt idx="2">
                  <c:v>107.90949298926816</c:v>
                </c:pt>
                <c:pt idx="3">
                  <c:v>100.55937559850936</c:v>
                </c:pt>
                <c:pt idx="4">
                  <c:v>103.64010191674332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rynku_10 2025'!$B$38,'szacunek rynku_10 2025'!$B$47:$B$53)</c15:sqref>
                  </c15:fullRef>
                </c:ext>
              </c:extLst>
              <c:f>('szacunek rynku_10 2025'!$B$38,'szacunek rynku_10 2025'!$B$47,'szacunek rynku_10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rynku_10 2025'!$I$38,'szacunek rynku_10 2025'!$I$47:$I$53)</c15:sqref>
                  </c15:fullRef>
                </c:ext>
              </c:extLst>
              <c:f>('szacunek rynku_10 2025'!$I$38,'szacunek rynku_10 2025'!$I$47,'szacunek rynku_10 2025'!$I$51:$I$53)</c:f>
              <c:numCache>
                <c:formatCode>#,##0</c:formatCode>
                <c:ptCount val="5"/>
                <c:pt idx="0">
                  <c:v>7891.9570740434274</c:v>
                </c:pt>
                <c:pt idx="1">
                  <c:v>1872.1950694301063</c:v>
                </c:pt>
                <c:pt idx="2">
                  <c:v>99.215958519021754</c:v>
                </c:pt>
                <c:pt idx="3">
                  <c:v>54.602063704247747</c:v>
                </c:pt>
                <c:pt idx="4">
                  <c:v>36.562025684310505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rynku_10 2025'!$B$65,'szacunek rynku_10 2025'!$B$74:$B$80)</c15:sqref>
                  </c15:fullRef>
                </c:ext>
              </c:extLst>
              <c:f>('szacunek rynku_10 2025'!$B$65,'szacunek rynku_10 2025'!$B$74,'szacunek rynku_10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rynku_10 2025'!$I$65,'szacunek rynku_10 2025'!$I$74:$I$80)</c15:sqref>
                  </c15:fullRef>
                </c:ext>
              </c:extLst>
              <c:f>('szacunek rynku_10 2025'!$I$65,'szacunek rynku_10 2025'!$I$74,'szacunek rynku_10 2025'!$I$78:$I$80)</c:f>
              <c:numCache>
                <c:formatCode>#,##0</c:formatCode>
                <c:ptCount val="5"/>
                <c:pt idx="0">
                  <c:v>615.34836867913077</c:v>
                </c:pt>
                <c:pt idx="1">
                  <c:v>798.94722751435336</c:v>
                </c:pt>
                <c:pt idx="2">
                  <c:v>29.848625727582625</c:v>
                </c:pt>
                <c:pt idx="3">
                  <c:v>71.784101967901051</c:v>
                </c:pt>
                <c:pt idx="4">
                  <c:v>6.0219719187705412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rynku_10 2025'!$B$10,'szacunek rynku_10 2025'!$B$19:$B$25)</c15:sqref>
                  </c15:fullRef>
                </c:ext>
              </c:extLst>
              <c:f>('szacunek rynku_10 2025'!$B$10,'szacunek rynku_10 2025'!$B$19,'szacunek rynku_10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rynku_10 2025'!$I$10,'szacunek rynku_10 2025'!$I$19:$I$25)</c15:sqref>
                  </c15:fullRef>
                </c:ext>
              </c:extLst>
              <c:f>('szacunek rynku_10 2025'!$I$10,'szacunek rynku_10 2025'!$I$19,'szacunek rynku_10 2025'!$I$23:$I$25)</c:f>
              <c:numCache>
                <c:formatCode>#,##0</c:formatCode>
                <c:ptCount val="5"/>
                <c:pt idx="0">
                  <c:v>8507.3054427225579</c:v>
                </c:pt>
                <c:pt idx="1">
                  <c:v>2671.1422969444598</c:v>
                </c:pt>
                <c:pt idx="2">
                  <c:v>129.06458424660437</c:v>
                </c:pt>
                <c:pt idx="3">
                  <c:v>126.38616567214879</c:v>
                </c:pt>
                <c:pt idx="4">
                  <c:v>42.583997603081045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11</xdr:row>
      <xdr:rowOff>146047</xdr:rowOff>
    </xdr:from>
    <xdr:to>
      <xdr:col>4</xdr:col>
      <xdr:colOff>904654</xdr:colOff>
      <xdr:row>13</xdr:row>
      <xdr:rowOff>104922</xdr:rowOff>
    </xdr:to>
    <xdr:sp macro="" textlink="$J$13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15</xdr:row>
      <xdr:rowOff>87536</xdr:rowOff>
    </xdr:from>
    <xdr:to>
      <xdr:col>4</xdr:col>
      <xdr:colOff>904654</xdr:colOff>
      <xdr:row>17</xdr:row>
      <xdr:rowOff>46411</xdr:rowOff>
    </xdr:to>
    <xdr:sp macro="" textlink="$J$14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26,6%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19</xdr:row>
      <xdr:rowOff>163919</xdr:rowOff>
    </xdr:from>
    <xdr:to>
      <xdr:col>4</xdr:col>
      <xdr:colOff>898881</xdr:colOff>
      <xdr:row>21</xdr:row>
      <xdr:rowOff>122794</xdr:rowOff>
    </xdr:to>
    <xdr:sp macro="" textlink="$J$15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12,0%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19</xdr:row>
      <xdr:rowOff>146601</xdr:rowOff>
    </xdr:from>
    <xdr:to>
      <xdr:col>6</xdr:col>
      <xdr:colOff>589718</xdr:colOff>
      <xdr:row>21</xdr:row>
      <xdr:rowOff>105476</xdr:rowOff>
    </xdr:to>
    <xdr:sp macro="" textlink="$K$15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11,6%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15</xdr:row>
      <xdr:rowOff>87536</xdr:rowOff>
    </xdr:from>
    <xdr:to>
      <xdr:col>6</xdr:col>
      <xdr:colOff>589718</xdr:colOff>
      <xdr:row>17</xdr:row>
      <xdr:rowOff>46411</xdr:rowOff>
    </xdr:to>
    <xdr:sp macro="" textlink="$K$14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45,2%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</xdr:row>
      <xdr:rowOff>146047</xdr:rowOff>
    </xdr:from>
    <xdr:to>
      <xdr:col>6</xdr:col>
      <xdr:colOff>589718</xdr:colOff>
      <xdr:row>13</xdr:row>
      <xdr:rowOff>104922</xdr:rowOff>
    </xdr:to>
    <xdr:sp macro="" textlink="$K$13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</xdr:row>
      <xdr:rowOff>146046</xdr:rowOff>
    </xdr:from>
    <xdr:to>
      <xdr:col>3</xdr:col>
      <xdr:colOff>1176096</xdr:colOff>
      <xdr:row>13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15</xdr:row>
      <xdr:rowOff>87535</xdr:rowOff>
    </xdr:from>
    <xdr:to>
      <xdr:col>3</xdr:col>
      <xdr:colOff>1176096</xdr:colOff>
      <xdr:row>17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19</xdr:row>
      <xdr:rowOff>146600</xdr:rowOff>
    </xdr:from>
    <xdr:to>
      <xdr:col>3</xdr:col>
      <xdr:colOff>1176096</xdr:colOff>
      <xdr:row>21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9</xdr:row>
      <xdr:rowOff>1046</xdr:rowOff>
    </xdr:from>
    <xdr:to>
      <xdr:col>4</xdr:col>
      <xdr:colOff>904654</xdr:colOff>
      <xdr:row>10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10/2025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9</xdr:row>
      <xdr:rowOff>1046</xdr:rowOff>
    </xdr:from>
    <xdr:to>
      <xdr:col>6</xdr:col>
      <xdr:colOff>589718</xdr:colOff>
      <xdr:row>10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01-10/2025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18</xdr:row>
      <xdr:rowOff>96505</xdr:rowOff>
    </xdr:from>
    <xdr:to>
      <xdr:col>6</xdr:col>
      <xdr:colOff>732905</xdr:colOff>
      <xdr:row>18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</xdr:row>
      <xdr:rowOff>107156</xdr:rowOff>
    </xdr:from>
    <xdr:to>
      <xdr:col>17</xdr:col>
      <xdr:colOff>333375</xdr:colOff>
      <xdr:row>17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5</xdr:row>
      <xdr:rowOff>127009</xdr:rowOff>
    </xdr:from>
    <xdr:to>
      <xdr:col>6</xdr:col>
      <xdr:colOff>627940</xdr:colOff>
      <xdr:row>8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6186" y="169334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5</xdr:row>
      <xdr:rowOff>147810</xdr:rowOff>
    </xdr:from>
    <xdr:to>
      <xdr:col>3</xdr:col>
      <xdr:colOff>1176024</xdr:colOff>
      <xdr:row>10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6,2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10/2025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5</xdr:row>
      <xdr:rowOff>127009</xdr:rowOff>
    </xdr:from>
    <xdr:to>
      <xdr:col>11</xdr:col>
      <xdr:colOff>5647</xdr:colOff>
      <xdr:row>21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5</xdr:row>
      <xdr:rowOff>127009</xdr:rowOff>
    </xdr:from>
    <xdr:to>
      <xdr:col>14</xdr:col>
      <xdr:colOff>594071</xdr:colOff>
      <xdr:row>21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44</xdr:row>
      <xdr:rowOff>146047</xdr:rowOff>
    </xdr:from>
    <xdr:to>
      <xdr:col>4</xdr:col>
      <xdr:colOff>904654</xdr:colOff>
      <xdr:row>46</xdr:row>
      <xdr:rowOff>104922</xdr:rowOff>
    </xdr:to>
    <xdr:sp macro="" textlink="'szacunek rynku_10 2025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48</xdr:row>
      <xdr:rowOff>87536</xdr:rowOff>
    </xdr:from>
    <xdr:to>
      <xdr:col>4</xdr:col>
      <xdr:colOff>904654</xdr:colOff>
      <xdr:row>50</xdr:row>
      <xdr:rowOff>46411</xdr:rowOff>
    </xdr:to>
    <xdr:sp macro="" textlink="'szacunek rynku_10 2025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51,2%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52</xdr:row>
      <xdr:rowOff>146601</xdr:rowOff>
    </xdr:from>
    <xdr:to>
      <xdr:col>4</xdr:col>
      <xdr:colOff>904654</xdr:colOff>
      <xdr:row>54</xdr:row>
      <xdr:rowOff>105476</xdr:rowOff>
    </xdr:to>
    <xdr:sp macro="" textlink="'szacunek rynku_10 2025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12,2%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52</xdr:row>
      <xdr:rowOff>146601</xdr:rowOff>
    </xdr:from>
    <xdr:to>
      <xdr:col>6</xdr:col>
      <xdr:colOff>589718</xdr:colOff>
      <xdr:row>54</xdr:row>
      <xdr:rowOff>105476</xdr:rowOff>
    </xdr:to>
    <xdr:sp macro="" textlink="'szacunek rynku_10 2025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48</xdr:row>
      <xdr:rowOff>87536</xdr:rowOff>
    </xdr:from>
    <xdr:to>
      <xdr:col>6</xdr:col>
      <xdr:colOff>589718</xdr:colOff>
      <xdr:row>50</xdr:row>
      <xdr:rowOff>46411</xdr:rowOff>
    </xdr:to>
    <xdr:sp macro="" textlink="'szacunek rynku_10 2025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27,6%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44</xdr:row>
      <xdr:rowOff>146047</xdr:rowOff>
    </xdr:from>
    <xdr:to>
      <xdr:col>6</xdr:col>
      <xdr:colOff>589718</xdr:colOff>
      <xdr:row>46</xdr:row>
      <xdr:rowOff>104922</xdr:rowOff>
    </xdr:to>
    <xdr:sp macro="" textlink="'szacunek rynku_10 2025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44</xdr:row>
      <xdr:rowOff>146046</xdr:rowOff>
    </xdr:from>
    <xdr:to>
      <xdr:col>3</xdr:col>
      <xdr:colOff>1176096</xdr:colOff>
      <xdr:row>46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48</xdr:row>
      <xdr:rowOff>87535</xdr:rowOff>
    </xdr:from>
    <xdr:to>
      <xdr:col>3</xdr:col>
      <xdr:colOff>1176096</xdr:colOff>
      <xdr:row>50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52</xdr:row>
      <xdr:rowOff>146600</xdr:rowOff>
    </xdr:from>
    <xdr:to>
      <xdr:col>3</xdr:col>
      <xdr:colOff>1176096</xdr:colOff>
      <xdr:row>54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42</xdr:row>
      <xdr:rowOff>1046</xdr:rowOff>
    </xdr:from>
    <xdr:to>
      <xdr:col>4</xdr:col>
      <xdr:colOff>904654</xdr:colOff>
      <xdr:row>43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10/2025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42</xdr:row>
      <xdr:rowOff>1046</xdr:rowOff>
    </xdr:from>
    <xdr:to>
      <xdr:col>6</xdr:col>
      <xdr:colOff>589718</xdr:colOff>
      <xdr:row>43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01-10/2025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51</xdr:row>
      <xdr:rowOff>96505</xdr:rowOff>
    </xdr:from>
    <xdr:to>
      <xdr:col>6</xdr:col>
      <xdr:colOff>732905</xdr:colOff>
      <xdr:row>51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40</xdr:row>
      <xdr:rowOff>107156</xdr:rowOff>
    </xdr:from>
    <xdr:to>
      <xdr:col>17</xdr:col>
      <xdr:colOff>333375</xdr:colOff>
      <xdr:row>50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38</xdr:row>
      <xdr:rowOff>127009</xdr:rowOff>
    </xdr:from>
    <xdr:to>
      <xdr:col>6</xdr:col>
      <xdr:colOff>627940</xdr:colOff>
      <xdr:row>41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38</xdr:row>
      <xdr:rowOff>147810</xdr:rowOff>
    </xdr:from>
    <xdr:to>
      <xdr:col>3</xdr:col>
      <xdr:colOff>1176024</xdr:colOff>
      <xdr:row>43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2,1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10/2025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38</xdr:row>
      <xdr:rowOff>127009</xdr:rowOff>
    </xdr:from>
    <xdr:to>
      <xdr:col>10</xdr:col>
      <xdr:colOff>697089</xdr:colOff>
      <xdr:row>54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38</xdr:row>
      <xdr:rowOff>127009</xdr:rowOff>
    </xdr:from>
    <xdr:to>
      <xdr:col>14</xdr:col>
      <xdr:colOff>603249</xdr:colOff>
      <xdr:row>54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78</xdr:row>
      <xdr:rowOff>146047</xdr:rowOff>
    </xdr:from>
    <xdr:to>
      <xdr:col>4</xdr:col>
      <xdr:colOff>904654</xdr:colOff>
      <xdr:row>80</xdr:row>
      <xdr:rowOff>104922</xdr:rowOff>
    </xdr:to>
    <xdr:sp macro="" textlink="'szacunek rynku_10 2025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17,8%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82</xdr:row>
      <xdr:rowOff>87536</xdr:rowOff>
    </xdr:from>
    <xdr:to>
      <xdr:col>4</xdr:col>
      <xdr:colOff>904654</xdr:colOff>
      <xdr:row>84</xdr:row>
      <xdr:rowOff>46411</xdr:rowOff>
    </xdr:to>
    <xdr:sp macro="" textlink="'szacunek rynku_10 2025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19,4%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86</xdr:row>
      <xdr:rowOff>146601</xdr:rowOff>
    </xdr:from>
    <xdr:to>
      <xdr:col>4</xdr:col>
      <xdr:colOff>904654</xdr:colOff>
      <xdr:row>88</xdr:row>
      <xdr:rowOff>105476</xdr:rowOff>
    </xdr:to>
    <xdr:sp macro="" textlink="'szacunek rynku_10 2025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18,3%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86</xdr:row>
      <xdr:rowOff>129283</xdr:rowOff>
    </xdr:from>
    <xdr:to>
      <xdr:col>6</xdr:col>
      <xdr:colOff>578172</xdr:colOff>
      <xdr:row>88</xdr:row>
      <xdr:rowOff>88158</xdr:rowOff>
    </xdr:to>
    <xdr:sp macro="" textlink="'szacunek rynku_10 2025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82</xdr:row>
      <xdr:rowOff>87536</xdr:rowOff>
    </xdr:from>
    <xdr:to>
      <xdr:col>6</xdr:col>
      <xdr:colOff>589718</xdr:colOff>
      <xdr:row>84</xdr:row>
      <xdr:rowOff>46411</xdr:rowOff>
    </xdr:to>
    <xdr:sp macro="" textlink="'szacunek rynku_10 2025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23,8%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78</xdr:row>
      <xdr:rowOff>146047</xdr:rowOff>
    </xdr:from>
    <xdr:to>
      <xdr:col>6</xdr:col>
      <xdr:colOff>589718</xdr:colOff>
      <xdr:row>80</xdr:row>
      <xdr:rowOff>104922</xdr:rowOff>
    </xdr:to>
    <xdr:sp macro="" textlink="'szacunek rynku_10 2025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-6,9%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78</xdr:row>
      <xdr:rowOff>146046</xdr:rowOff>
    </xdr:from>
    <xdr:to>
      <xdr:col>3</xdr:col>
      <xdr:colOff>1176096</xdr:colOff>
      <xdr:row>80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82</xdr:row>
      <xdr:rowOff>87535</xdr:rowOff>
    </xdr:from>
    <xdr:to>
      <xdr:col>3</xdr:col>
      <xdr:colOff>1176096</xdr:colOff>
      <xdr:row>84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86</xdr:row>
      <xdr:rowOff>146600</xdr:rowOff>
    </xdr:from>
    <xdr:to>
      <xdr:col>3</xdr:col>
      <xdr:colOff>1176096</xdr:colOff>
      <xdr:row>88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76</xdr:row>
      <xdr:rowOff>1046</xdr:rowOff>
    </xdr:from>
    <xdr:to>
      <xdr:col>4</xdr:col>
      <xdr:colOff>904654</xdr:colOff>
      <xdr:row>77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10/2025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76</xdr:row>
      <xdr:rowOff>1046</xdr:rowOff>
    </xdr:from>
    <xdr:to>
      <xdr:col>6</xdr:col>
      <xdr:colOff>589718</xdr:colOff>
      <xdr:row>77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10-10/2025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85</xdr:row>
      <xdr:rowOff>96505</xdr:rowOff>
    </xdr:from>
    <xdr:to>
      <xdr:col>6</xdr:col>
      <xdr:colOff>732905</xdr:colOff>
      <xdr:row>85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74</xdr:row>
      <xdr:rowOff>107156</xdr:rowOff>
    </xdr:from>
    <xdr:to>
      <xdr:col>17</xdr:col>
      <xdr:colOff>333375</xdr:colOff>
      <xdr:row>84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72</xdr:row>
      <xdr:rowOff>127009</xdr:rowOff>
    </xdr:from>
    <xdr:to>
      <xdr:col>6</xdr:col>
      <xdr:colOff>627940</xdr:colOff>
      <xdr:row>75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72</xdr:row>
      <xdr:rowOff>147810</xdr:rowOff>
    </xdr:from>
    <xdr:to>
      <xdr:col>3</xdr:col>
      <xdr:colOff>1176024</xdr:colOff>
      <xdr:row>77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2,7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10/2025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72</xdr:row>
      <xdr:rowOff>127009</xdr:rowOff>
    </xdr:from>
    <xdr:to>
      <xdr:col>10</xdr:col>
      <xdr:colOff>684389</xdr:colOff>
      <xdr:row>88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72</xdr:row>
      <xdr:rowOff>127009</xdr:rowOff>
    </xdr:from>
    <xdr:to>
      <xdr:col>14</xdr:col>
      <xdr:colOff>571499</xdr:colOff>
      <xdr:row>88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3</xdr:row>
      <xdr:rowOff>56444</xdr:rowOff>
    </xdr:from>
    <xdr:to>
      <xdr:col>3</xdr:col>
      <xdr:colOff>545985</xdr:colOff>
      <xdr:row>3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36</xdr:row>
      <xdr:rowOff>16935</xdr:rowOff>
    </xdr:from>
    <xdr:to>
      <xdr:col>3</xdr:col>
      <xdr:colOff>475457</xdr:colOff>
      <xdr:row>36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70</xdr:row>
      <xdr:rowOff>80433</xdr:rowOff>
    </xdr:from>
    <xdr:to>
      <xdr:col>3</xdr:col>
      <xdr:colOff>317500</xdr:colOff>
      <xdr:row>70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112</xdr:row>
      <xdr:rowOff>146047</xdr:rowOff>
    </xdr:from>
    <xdr:to>
      <xdr:col>4</xdr:col>
      <xdr:colOff>904654</xdr:colOff>
      <xdr:row>114</xdr:row>
      <xdr:rowOff>104922</xdr:rowOff>
    </xdr:to>
    <xdr:sp macro="" textlink="'szacunek rynku_10 2025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11,7%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116</xdr:row>
      <xdr:rowOff>87536</xdr:rowOff>
    </xdr:from>
    <xdr:to>
      <xdr:col>4</xdr:col>
      <xdr:colOff>904654</xdr:colOff>
      <xdr:row>118</xdr:row>
      <xdr:rowOff>46411</xdr:rowOff>
    </xdr:to>
    <xdr:sp macro="" textlink="'szacunek rynku_10 2025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27,0%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120</xdr:row>
      <xdr:rowOff>146601</xdr:rowOff>
    </xdr:from>
    <xdr:to>
      <xdr:col>4</xdr:col>
      <xdr:colOff>904654</xdr:colOff>
      <xdr:row>122</xdr:row>
      <xdr:rowOff>105476</xdr:rowOff>
    </xdr:to>
    <xdr:sp macro="" textlink="'szacunek rynku_10 2025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13,5%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120</xdr:row>
      <xdr:rowOff>146601</xdr:rowOff>
    </xdr:from>
    <xdr:to>
      <xdr:col>6</xdr:col>
      <xdr:colOff>589718</xdr:colOff>
      <xdr:row>122</xdr:row>
      <xdr:rowOff>105476</xdr:rowOff>
    </xdr:to>
    <xdr:sp macro="" textlink="'szacunek rynku_10 2025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116</xdr:row>
      <xdr:rowOff>87536</xdr:rowOff>
    </xdr:from>
    <xdr:to>
      <xdr:col>6</xdr:col>
      <xdr:colOff>589718</xdr:colOff>
      <xdr:row>118</xdr:row>
      <xdr:rowOff>46411</xdr:rowOff>
    </xdr:to>
    <xdr:sp macro="" textlink="'szacunek rynku_10 2025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28,9%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112</xdr:row>
      <xdr:rowOff>146047</xdr:rowOff>
    </xdr:from>
    <xdr:to>
      <xdr:col>6</xdr:col>
      <xdr:colOff>589718</xdr:colOff>
      <xdr:row>114</xdr:row>
      <xdr:rowOff>104922</xdr:rowOff>
    </xdr:to>
    <xdr:sp macro="" textlink="'szacunek rynku_10 2025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112</xdr:row>
      <xdr:rowOff>146046</xdr:rowOff>
    </xdr:from>
    <xdr:to>
      <xdr:col>3</xdr:col>
      <xdr:colOff>1176096</xdr:colOff>
      <xdr:row>114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116</xdr:row>
      <xdr:rowOff>87535</xdr:rowOff>
    </xdr:from>
    <xdr:to>
      <xdr:col>3</xdr:col>
      <xdr:colOff>1176096</xdr:colOff>
      <xdr:row>118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120</xdr:row>
      <xdr:rowOff>10526</xdr:rowOff>
    </xdr:from>
    <xdr:to>
      <xdr:col>3</xdr:col>
      <xdr:colOff>1176096</xdr:colOff>
      <xdr:row>123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110</xdr:row>
      <xdr:rowOff>1046</xdr:rowOff>
    </xdr:from>
    <xdr:to>
      <xdr:col>4</xdr:col>
      <xdr:colOff>904654</xdr:colOff>
      <xdr:row>111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10/2025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110</xdr:row>
      <xdr:rowOff>1046</xdr:rowOff>
    </xdr:from>
    <xdr:to>
      <xdr:col>6</xdr:col>
      <xdr:colOff>589718</xdr:colOff>
      <xdr:row>111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01-10/2025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119</xdr:row>
      <xdr:rowOff>96505</xdr:rowOff>
    </xdr:from>
    <xdr:to>
      <xdr:col>6</xdr:col>
      <xdr:colOff>732905</xdr:colOff>
      <xdr:row>119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106</xdr:row>
      <xdr:rowOff>127009</xdr:rowOff>
    </xdr:from>
    <xdr:to>
      <xdr:col>6</xdr:col>
      <xdr:colOff>627940</xdr:colOff>
      <xdr:row>109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106</xdr:row>
      <xdr:rowOff>147810</xdr:rowOff>
    </xdr:from>
    <xdr:to>
      <xdr:col>3</xdr:col>
      <xdr:colOff>1176024</xdr:colOff>
      <xdr:row>111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11,5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10/2025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106</xdr:row>
      <xdr:rowOff>127009</xdr:rowOff>
    </xdr:from>
    <xdr:to>
      <xdr:col>10</xdr:col>
      <xdr:colOff>684389</xdr:colOff>
      <xdr:row>122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106</xdr:row>
      <xdr:rowOff>127009</xdr:rowOff>
    </xdr:from>
    <xdr:to>
      <xdr:col>14</xdr:col>
      <xdr:colOff>571499</xdr:colOff>
      <xdr:row>122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11</xdr:row>
      <xdr:rowOff>146047</xdr:rowOff>
    </xdr:from>
    <xdr:to>
      <xdr:col>20</xdr:col>
      <xdr:colOff>1493597</xdr:colOff>
      <xdr:row>13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15</xdr:row>
      <xdr:rowOff>87537</xdr:rowOff>
    </xdr:from>
    <xdr:to>
      <xdr:col>20</xdr:col>
      <xdr:colOff>1493597</xdr:colOff>
      <xdr:row>17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11</xdr:row>
      <xdr:rowOff>146047</xdr:rowOff>
    </xdr:from>
    <xdr:to>
      <xdr:col>22</xdr:col>
      <xdr:colOff>102189</xdr:colOff>
      <xdr:row>13</xdr:row>
      <xdr:rowOff>104922</xdr:rowOff>
    </xdr:to>
    <xdr:sp macro="" textlink="'szacunek rynku_10 2025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12,4%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15</xdr:row>
      <xdr:rowOff>87537</xdr:rowOff>
    </xdr:from>
    <xdr:to>
      <xdr:col>22</xdr:col>
      <xdr:colOff>102189</xdr:colOff>
      <xdr:row>17</xdr:row>
      <xdr:rowOff>46411</xdr:rowOff>
    </xdr:to>
    <xdr:sp macro="" textlink="'szacunek rynku_10 2025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9,7%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15</xdr:row>
      <xdr:rowOff>87537</xdr:rowOff>
    </xdr:from>
    <xdr:to>
      <xdr:col>24</xdr:col>
      <xdr:colOff>259079</xdr:colOff>
      <xdr:row>17</xdr:row>
      <xdr:rowOff>46411</xdr:rowOff>
    </xdr:to>
    <xdr:sp macro="" textlink="'szacunek rynku_10 2025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9</xdr:row>
      <xdr:rowOff>1046</xdr:rowOff>
    </xdr:from>
    <xdr:to>
      <xdr:col>22</xdr:col>
      <xdr:colOff>102189</xdr:colOff>
      <xdr:row>10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10/2025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9</xdr:row>
      <xdr:rowOff>1046</xdr:rowOff>
    </xdr:from>
    <xdr:to>
      <xdr:col>24</xdr:col>
      <xdr:colOff>259079</xdr:colOff>
      <xdr:row>10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01-10/2025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11</xdr:row>
      <xdr:rowOff>146046</xdr:rowOff>
    </xdr:from>
    <xdr:to>
      <xdr:col>24</xdr:col>
      <xdr:colOff>259079</xdr:colOff>
      <xdr:row>13</xdr:row>
      <xdr:rowOff>104922</xdr:rowOff>
    </xdr:to>
    <xdr:sp macro="" textlink="'szacunek rynku_10 2025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13,7%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5</xdr:row>
      <xdr:rowOff>127009</xdr:rowOff>
    </xdr:from>
    <xdr:to>
      <xdr:col>24</xdr:col>
      <xdr:colOff>259079</xdr:colOff>
      <xdr:row>8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44</xdr:row>
      <xdr:rowOff>177797</xdr:rowOff>
    </xdr:from>
    <xdr:to>
      <xdr:col>20</xdr:col>
      <xdr:colOff>1404697</xdr:colOff>
      <xdr:row>46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47</xdr:row>
      <xdr:rowOff>145594</xdr:rowOff>
    </xdr:from>
    <xdr:to>
      <xdr:col>20</xdr:col>
      <xdr:colOff>1404697</xdr:colOff>
      <xdr:row>49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44</xdr:row>
      <xdr:rowOff>177797</xdr:rowOff>
    </xdr:from>
    <xdr:to>
      <xdr:col>22</xdr:col>
      <xdr:colOff>38689</xdr:colOff>
      <xdr:row>46</xdr:row>
      <xdr:rowOff>136672</xdr:rowOff>
    </xdr:to>
    <xdr:sp macro="" textlink="'szacunek rynku_10 2025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0,5%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47</xdr:row>
      <xdr:rowOff>145594</xdr:rowOff>
    </xdr:from>
    <xdr:to>
      <xdr:col>22</xdr:col>
      <xdr:colOff>38689</xdr:colOff>
      <xdr:row>49</xdr:row>
      <xdr:rowOff>104468</xdr:rowOff>
    </xdr:to>
    <xdr:sp macro="" textlink="'szacunek rynku_10 2025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47</xdr:row>
      <xdr:rowOff>145594</xdr:rowOff>
    </xdr:from>
    <xdr:to>
      <xdr:col>24</xdr:col>
      <xdr:colOff>195579</xdr:colOff>
      <xdr:row>49</xdr:row>
      <xdr:rowOff>104468</xdr:rowOff>
    </xdr:to>
    <xdr:sp macro="" textlink="'szacunek rynku_10 2025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42</xdr:row>
      <xdr:rowOff>89946</xdr:rowOff>
    </xdr:from>
    <xdr:to>
      <xdr:col>22</xdr:col>
      <xdr:colOff>38689</xdr:colOff>
      <xdr:row>44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10/2025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42</xdr:row>
      <xdr:rowOff>89946</xdr:rowOff>
    </xdr:from>
    <xdr:to>
      <xdr:col>24</xdr:col>
      <xdr:colOff>195579</xdr:colOff>
      <xdr:row>44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01-10/2025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44</xdr:row>
      <xdr:rowOff>177796</xdr:rowOff>
    </xdr:from>
    <xdr:to>
      <xdr:col>24</xdr:col>
      <xdr:colOff>195579</xdr:colOff>
      <xdr:row>46</xdr:row>
      <xdr:rowOff>136672</xdr:rowOff>
    </xdr:to>
    <xdr:sp macro="" textlink="'szacunek rynku_10 2025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38</xdr:row>
      <xdr:rowOff>127009</xdr:rowOff>
    </xdr:from>
    <xdr:to>
      <xdr:col>24</xdr:col>
      <xdr:colOff>195579</xdr:colOff>
      <xdr:row>41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50</xdr:row>
      <xdr:rowOff>113390</xdr:rowOff>
    </xdr:from>
    <xdr:to>
      <xdr:col>20</xdr:col>
      <xdr:colOff>1404697</xdr:colOff>
      <xdr:row>52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50</xdr:row>
      <xdr:rowOff>113390</xdr:rowOff>
    </xdr:from>
    <xdr:to>
      <xdr:col>22</xdr:col>
      <xdr:colOff>13289</xdr:colOff>
      <xdr:row>52</xdr:row>
      <xdr:rowOff>72264</xdr:rowOff>
    </xdr:to>
    <xdr:sp macro="" textlink="'szacunek rynku_10 2025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7,6%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50</xdr:row>
      <xdr:rowOff>113390</xdr:rowOff>
    </xdr:from>
    <xdr:to>
      <xdr:col>24</xdr:col>
      <xdr:colOff>170179</xdr:colOff>
      <xdr:row>52</xdr:row>
      <xdr:rowOff>72264</xdr:rowOff>
    </xdr:to>
    <xdr:sp macro="" textlink="'szacunek rynku_10 2025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53</xdr:row>
      <xdr:rowOff>81187</xdr:rowOff>
    </xdr:from>
    <xdr:to>
      <xdr:col>20</xdr:col>
      <xdr:colOff>1404697</xdr:colOff>
      <xdr:row>55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53</xdr:row>
      <xdr:rowOff>81187</xdr:rowOff>
    </xdr:from>
    <xdr:to>
      <xdr:col>22</xdr:col>
      <xdr:colOff>25989</xdr:colOff>
      <xdr:row>55</xdr:row>
      <xdr:rowOff>40061</xdr:rowOff>
    </xdr:to>
    <xdr:sp macro="" textlink="'szacunek rynku_10 2025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-40,6%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53</xdr:row>
      <xdr:rowOff>81187</xdr:rowOff>
    </xdr:from>
    <xdr:to>
      <xdr:col>24</xdr:col>
      <xdr:colOff>182879</xdr:colOff>
      <xdr:row>55</xdr:row>
      <xdr:rowOff>40061</xdr:rowOff>
    </xdr:to>
    <xdr:sp macro="" textlink="'szacunek rynku_10 2025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18,7%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79</xdr:row>
      <xdr:rowOff>6338</xdr:rowOff>
    </xdr:from>
    <xdr:to>
      <xdr:col>20</xdr:col>
      <xdr:colOff>1385663</xdr:colOff>
      <xdr:row>80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82</xdr:row>
      <xdr:rowOff>5885</xdr:rowOff>
    </xdr:from>
    <xdr:to>
      <xdr:col>20</xdr:col>
      <xdr:colOff>1385663</xdr:colOff>
      <xdr:row>83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79</xdr:row>
      <xdr:rowOff>6338</xdr:rowOff>
    </xdr:from>
    <xdr:to>
      <xdr:col>22</xdr:col>
      <xdr:colOff>19655</xdr:colOff>
      <xdr:row>80</xdr:row>
      <xdr:rowOff>149363</xdr:rowOff>
    </xdr:to>
    <xdr:sp macro="" textlink="'szacunek rynku_10 2025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-29,2%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82</xdr:row>
      <xdr:rowOff>5885</xdr:rowOff>
    </xdr:from>
    <xdr:to>
      <xdr:col>22</xdr:col>
      <xdr:colOff>19655</xdr:colOff>
      <xdr:row>83</xdr:row>
      <xdr:rowOff>148909</xdr:rowOff>
    </xdr:to>
    <xdr:sp macro="" textlink="'szacunek rynku_10 2025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82</xdr:row>
      <xdr:rowOff>5885</xdr:rowOff>
    </xdr:from>
    <xdr:to>
      <xdr:col>24</xdr:col>
      <xdr:colOff>176545</xdr:colOff>
      <xdr:row>83</xdr:row>
      <xdr:rowOff>148909</xdr:rowOff>
    </xdr:to>
    <xdr:sp macro="" textlink="'szacunek rynku_10 2025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29,9%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76</xdr:row>
      <xdr:rowOff>102637</xdr:rowOff>
    </xdr:from>
    <xdr:to>
      <xdr:col>22</xdr:col>
      <xdr:colOff>19655</xdr:colOff>
      <xdr:row>78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10/2025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76</xdr:row>
      <xdr:rowOff>102637</xdr:rowOff>
    </xdr:from>
    <xdr:to>
      <xdr:col>24</xdr:col>
      <xdr:colOff>176545</xdr:colOff>
      <xdr:row>78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01-10/2025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79</xdr:row>
      <xdr:rowOff>6337</xdr:rowOff>
    </xdr:from>
    <xdr:to>
      <xdr:col>24</xdr:col>
      <xdr:colOff>176545</xdr:colOff>
      <xdr:row>80</xdr:row>
      <xdr:rowOff>149363</xdr:rowOff>
    </xdr:to>
    <xdr:sp macro="" textlink="'szacunek rynku_10 2025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-10,4%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72</xdr:row>
      <xdr:rowOff>139700</xdr:rowOff>
    </xdr:from>
    <xdr:to>
      <xdr:col>24</xdr:col>
      <xdr:colOff>176545</xdr:colOff>
      <xdr:row>75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85</xdr:row>
      <xdr:rowOff>5431</xdr:rowOff>
    </xdr:from>
    <xdr:to>
      <xdr:col>20</xdr:col>
      <xdr:colOff>1385663</xdr:colOff>
      <xdr:row>86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85</xdr:row>
      <xdr:rowOff>5431</xdr:rowOff>
    </xdr:from>
    <xdr:to>
      <xdr:col>21</xdr:col>
      <xdr:colOff>1022955</xdr:colOff>
      <xdr:row>86</xdr:row>
      <xdr:rowOff>148455</xdr:rowOff>
    </xdr:to>
    <xdr:sp macro="" textlink="'szacunek rynku_10 2025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41,4%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85</xdr:row>
      <xdr:rowOff>5431</xdr:rowOff>
    </xdr:from>
    <xdr:to>
      <xdr:col>24</xdr:col>
      <xdr:colOff>151145</xdr:colOff>
      <xdr:row>86</xdr:row>
      <xdr:rowOff>148455</xdr:rowOff>
    </xdr:to>
    <xdr:sp macro="" textlink="'szacunek rynku_10 2025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22</xdr:row>
      <xdr:rowOff>63501</xdr:rowOff>
    </xdr:from>
    <xdr:to>
      <xdr:col>14</xdr:col>
      <xdr:colOff>485333</xdr:colOff>
      <xdr:row>31</xdr:row>
      <xdr:rowOff>93124</xdr:rowOff>
    </xdr:to>
    <xdr:sp macro="" textlink="">
      <xdr:nvSpPr>
        <xdr:cNvPr id="148" name="Prostokąt: zaokrąglone rogi 147">
          <a:extLst>
            <a:ext uri="{FF2B5EF4-FFF2-40B4-BE49-F238E27FC236}">
              <a16:creationId xmlns:a16="http://schemas.microsoft.com/office/drawing/2014/main" id="{067B2F4D-AF8E-474A-8BEE-164CC10637BC}"/>
            </a:ext>
          </a:extLst>
        </xdr:cNvPr>
        <xdr:cNvSpPr/>
      </xdr:nvSpPr>
      <xdr:spPr>
        <a:xfrm>
          <a:off x="857250" y="4878918"/>
          <a:ext cx="10486583" cy="175470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leasingu. Nadal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mocno rośnie finansowanie OSD w pożyczce, ale stopniowo poprawia się też dynamika dla samego leasingu.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wyhamowała w październik do 12,0% r/r, po mocnym wzroście o 18,0% r/r w III kw. 2025. Realnie,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nie oznacza to pogorszenia ze względu na relatywnie niską bazę III kw. 2024.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 Ssektor lekkich aut dostawczych pozostaje w tym na lekkim minusie, ale już sam październik przyniósł wyraźne odbicie.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Realizuje się oczekiwany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scenariusz rozwoju gospodarczego na 2025 rok, w którym dynamika PKB mocno bazuje na popycie konsumpcyjnym. Przełoży się to na dalszy wzrost finansowania OSD w tym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55</xdr:row>
      <xdr:rowOff>84667</xdr:rowOff>
    </xdr:from>
    <xdr:to>
      <xdr:col>14</xdr:col>
      <xdr:colOff>537986</xdr:colOff>
      <xdr:row>66</xdr:row>
      <xdr:rowOff>34395</xdr:rowOff>
    </xdr:to>
    <xdr:sp macro="" textlink="">
      <xdr:nvSpPr>
        <xdr:cNvPr id="149" name="Prostokąt: zaokrąglone rogi 148">
          <a:extLst>
            <a:ext uri="{FF2B5EF4-FFF2-40B4-BE49-F238E27FC236}">
              <a16:creationId xmlns:a16="http://schemas.microsoft.com/office/drawing/2014/main" id="{E1982131-3386-41DB-989E-C0B40D22D152}"/>
            </a:ext>
          </a:extLst>
        </xdr:cNvPr>
        <xdr:cNvSpPr/>
      </xdr:nvSpPr>
      <xdr:spPr>
        <a:xfrm>
          <a:off x="857250" y="11842750"/>
          <a:ext cx="10539236" cy="2087562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październiku 2025 wyhamowało do 12,2% r/r, po wzroście o 30,8% r/r we wrześniu 2025.To głównie wpływ bardzo niskiej bazy III kw. 2024 w finansowaniu TRK, która mocno podbiła dynamiki w III kw. 2025. Sektor TRK wyszedł na plus w marcu 2025 i od tego miesiąca utrzymują się konsekwentnie wzrosty. 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 diametralna poprawa wobec -13,7% r/r za 2024 i jeszcze -7,1% r/r za 01-02/2025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pPr algn="l"/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październiku 2025 piąty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wyraźnym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plusie</a:t>
          </a:r>
          <a:r>
            <a:rPr lang="pl-PL" sz="11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r>
            <a:rPr lang="pl-PL" sz="11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Bardzo wysoki wzrost w tym segmencie w części można wytłumaczyć niską bazą ub. roku, ale widać też pozytywny wpływ stabilizacji sytuacji gospodarczej w strefie euro. Wyhamowały dynamiki w finansowaniu naczep oraz typowych ciężarówek o DMC powyżej 3,5 tony, bardziej związanych z popytem krajowym. </a:t>
          </a: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Wyniki za październik, uzyskane już vs. wyższa baza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IV kw. 2024, potwierdzają, że 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najgorsze w sektorze finansowania TRK już za nami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endParaRPr lang="en-GB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232834</xdr:colOff>
      <xdr:row>89</xdr:row>
      <xdr:rowOff>116419</xdr:rowOff>
    </xdr:from>
    <xdr:to>
      <xdr:col>14</xdr:col>
      <xdr:colOff>536840</xdr:colOff>
      <xdr:row>100</xdr:row>
      <xdr:rowOff>112890</xdr:rowOff>
    </xdr:to>
    <xdr:sp macro="" textlink="">
      <xdr:nvSpPr>
        <xdr:cNvPr id="151" name="Prostokąt: zaokrąglone rogi 150">
          <a:extLst>
            <a:ext uri="{FF2B5EF4-FFF2-40B4-BE49-F238E27FC236}">
              <a16:creationId xmlns:a16="http://schemas.microsoft.com/office/drawing/2014/main" id="{38D061DB-AA2E-4936-B7EE-7680BBFBF561}"/>
            </a:ext>
          </a:extLst>
        </xdr:cNvPr>
        <xdr:cNvSpPr/>
      </xdr:nvSpPr>
      <xdr:spPr>
        <a:xfrm>
          <a:off x="839612" y="18397363"/>
          <a:ext cx="10887339" cy="2049638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październiku 2025 trochę zaskoczyło, osiągając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najwyższą dynamiką 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 tym roku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vs 10,4% r/r za 08-09 2025,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-11,2% r/r w lipcu, 3,2% r/r w II kw. 2025 oraz -0,9% r/r w I kw.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Dobry wynik finansowania maszyn w październiku za sprawą bardzo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znacznego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wzrostu w sektorze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pozostałych maszyn. </a:t>
          </a:r>
          <a:b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Relatywnie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niewielki wzrost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finansowaniu maszyn rolniczych, wyraźnie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poniżej 33,0% r/r z III kw. 2025 i wysokich dynamik notowanych w tym segmencie od lutego 2025. To już pochodna zakończenia we wrześniu 2025 rozliczeń funduszy unijnych z poprzedniego PROW.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 wrześniowym wzroście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 finansowaniu maszyn budowalnych, październik ponownie przyniósł wyraźny spadek dynamiki r/r.  To największy spadek w tym roku, po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-9,3% r/r w I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półroczu 2025 i -5,3% dla III kw. 2025.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124</xdr:row>
      <xdr:rowOff>0</xdr:rowOff>
    </xdr:from>
    <xdr:to>
      <xdr:col>14</xdr:col>
      <xdr:colOff>490624</xdr:colOff>
      <xdr:row>132</xdr:row>
      <xdr:rowOff>158750</xdr:rowOff>
    </xdr:to>
    <xdr:sp macro="" textlink="">
      <xdr:nvSpPr>
        <xdr:cNvPr id="152" name="Prostokąt: zaokrąglone rogi 151">
          <a:extLst>
            <a:ext uri="{FF2B5EF4-FFF2-40B4-BE49-F238E27FC236}">
              <a16:creationId xmlns:a16="http://schemas.microsoft.com/office/drawing/2014/main" id="{0D304B79-368F-4202-B998-2B5FE5D07197}"/>
            </a:ext>
          </a:extLst>
        </xdr:cNvPr>
        <xdr:cNvSpPr/>
      </xdr:nvSpPr>
      <xdr:spPr>
        <a:xfrm>
          <a:off x="857250" y="26257250"/>
          <a:ext cx="10491874" cy="168275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rynku za październik nieco poniżej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16,9-proc. wrześniowego wzrostu, ale powyżej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5,5% r/r dla I półrocza 2025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 porównywalnie do 13,2% r/r za III kw. 2025.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Dodatnia dynamika rynku budowana jest wciąż głównie przez finansowanie aktywów w pożyczce,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ale ostatnie siedem miesięcy przyniosło odbicie równie w samym leasingu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 Szczególnie widać to było we wrześniu i w październiku.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Utrzymuje się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 wzrost finansowania aktywów przez firmy leasingowe w 2025 roku. Będzie on powyżej ostatniej prognozy ZPL równej 5,5% r/r.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10 2025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X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10 2025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10 2025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10 2025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10 2025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10 2025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1:AE135"/>
  <sheetViews>
    <sheetView showGridLines="0" topLeftCell="A35" zoomScale="90" zoomScaleNormal="90" workbookViewId="0">
      <selection activeCell="A4" sqref="A4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1" spans="2:31" ht="23.25" x14ac:dyDescent="0.35">
      <c r="B1" s="76" t="s">
        <v>52</v>
      </c>
    </row>
    <row r="2" spans="2:31" ht="15.75" thickBot="1" x14ac:dyDescent="0.3"/>
    <row r="3" spans="2:31" ht="15.75" thickTop="1" x14ac:dyDescent="0.25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S3" s="1"/>
      <c r="T3" s="2"/>
      <c r="U3" s="2"/>
      <c r="V3" s="2"/>
      <c r="W3" s="2"/>
      <c r="X3" s="2"/>
      <c r="Y3" s="2"/>
      <c r="Z3" s="2"/>
      <c r="AA3" s="2"/>
      <c r="AB3" s="2"/>
      <c r="AC3" s="3"/>
    </row>
    <row r="4" spans="2:31" s="6" customFormat="1" ht="61.5" customHeight="1" x14ac:dyDescent="0.25">
      <c r="B4" s="4"/>
      <c r="C4" s="73" t="s">
        <v>28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5"/>
      <c r="S4" s="4"/>
      <c r="T4" s="73" t="s">
        <v>49</v>
      </c>
      <c r="U4" s="73"/>
      <c r="V4" s="73"/>
      <c r="W4" s="73"/>
      <c r="X4" s="73"/>
      <c r="Y4" s="73"/>
      <c r="Z4" s="73"/>
      <c r="AA4" s="73"/>
      <c r="AB4" s="73"/>
      <c r="AC4" s="5"/>
      <c r="AE4" s="7"/>
    </row>
    <row r="5" spans="2:31" x14ac:dyDescent="0.25">
      <c r="B5" s="8"/>
      <c r="P5" s="9"/>
      <c r="S5" s="8"/>
      <c r="AC5" s="9"/>
    </row>
    <row r="6" spans="2:31" x14ac:dyDescent="0.25">
      <c r="B6" s="8"/>
      <c r="P6" s="9"/>
      <c r="S6" s="8"/>
      <c r="AC6" s="9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J9" s="63" t="s">
        <v>36</v>
      </c>
      <c r="N9" s="63" t="s">
        <v>36</v>
      </c>
      <c r="P9" s="9"/>
      <c r="S9" s="8"/>
      <c r="V9" s="14"/>
      <c r="AC9" s="9"/>
    </row>
    <row r="10" spans="2:31" x14ac:dyDescent="0.25">
      <c r="B10" s="8"/>
      <c r="I10" t="s">
        <v>1</v>
      </c>
      <c r="J10" s="64">
        <f>('szacunek rynku_10 2025'!I39+'szacunek rynku_10 2025'!I40)/('szacunek rynku_10 2025'!I11+'szacunek rynku_10 2025'!I12)</f>
        <v>0.93978500059671122</v>
      </c>
      <c r="M10" t="s">
        <v>0</v>
      </c>
      <c r="N10" s="64">
        <f>'szacunek rynku_10 2025'!I11/SUM('szacunek rynku_10 2025'!I11:I12)</f>
        <v>0.86496573872105997</v>
      </c>
      <c r="P10" s="9"/>
      <c r="S10" s="8"/>
      <c r="V10" s="66"/>
      <c r="Z10" s="13"/>
      <c r="AC10" s="9"/>
    </row>
    <row r="11" spans="2:31" x14ac:dyDescent="0.25">
      <c r="B11" s="8"/>
      <c r="I11" t="s">
        <v>2</v>
      </c>
      <c r="J11" s="64">
        <f>1-J10</f>
        <v>6.0214999403288783E-2</v>
      </c>
      <c r="M11" t="s">
        <v>3</v>
      </c>
      <c r="N11" s="64">
        <f>1-N10</f>
        <v>0.13503426127894003</v>
      </c>
      <c r="P11" s="9"/>
      <c r="S11" s="8"/>
      <c r="V11" s="66"/>
      <c r="Z11" s="13"/>
      <c r="AA11" s="71"/>
      <c r="AC11" s="9"/>
    </row>
    <row r="12" spans="2:31" x14ac:dyDescent="0.25">
      <c r="B12" s="8"/>
      <c r="P12" s="9"/>
      <c r="S12" s="8"/>
      <c r="Z12" s="13"/>
      <c r="AC12" s="9"/>
    </row>
    <row r="13" spans="2:31" x14ac:dyDescent="0.25">
      <c r="B13" s="8"/>
      <c r="I13" t="s">
        <v>1</v>
      </c>
      <c r="J13" s="65">
        <f>('szacunek rynku_10 2025'!I39+'szacunek rynku_10 2025'!I40)/('szacunek rynku_10 2025'!H39+'szacunek rynku_10 2025'!H40)-1</f>
        <v>0.11201022609420908</v>
      </c>
      <c r="K13" s="64">
        <f>('szacunek rynku_10 2025'!N39+'szacunek rynku_10 2025'!N40)/('szacunek rynku_10 2025'!M39+'szacunek rynku_10 2025'!M40)-1</f>
        <v>9.9093384675262186E-2</v>
      </c>
      <c r="P13" s="9"/>
      <c r="S13" s="8"/>
      <c r="AC13" s="9"/>
    </row>
    <row r="14" spans="2:31" x14ac:dyDescent="0.25">
      <c r="B14" s="8"/>
      <c r="I14" t="s">
        <v>2</v>
      </c>
      <c r="J14" s="65">
        <f>('szacunek rynku_10 2025'!I66+'szacunek rynku_10 2025'!I67)/('szacunek rynku_10 2025'!H66+'szacunek rynku_10 2025'!H67)-1</f>
        <v>0.26594177395358409</v>
      </c>
      <c r="K14" s="64">
        <f>('szacunek rynku_10 2025'!N66+'szacunek rynku_10 2025'!N67)/('szacunek rynku_10 2025'!M66+'szacunek rynku_10 2025'!M67)-1</f>
        <v>0.45194222074475499</v>
      </c>
      <c r="P14" s="9"/>
      <c r="S14" s="8"/>
      <c r="AC14" s="9"/>
    </row>
    <row r="15" spans="2:31" x14ac:dyDescent="0.25">
      <c r="B15" s="8"/>
      <c r="I15" t="s">
        <v>34</v>
      </c>
      <c r="J15" s="65">
        <f>('szacunek rynku_10 2025'!I12+'szacunek rynku_10 2025'!I11)/('szacunek rynku_10 2025'!H11+'szacunek rynku_10 2025'!H12)-1</f>
        <v>0.12021220963898371</v>
      </c>
      <c r="K15" s="64">
        <f>('szacunek rynku_10 2025'!N12+'szacunek rynku_10 2025'!N11)/('szacunek rynku_10 2025'!M11+'szacunek rynku_10 2025'!M12)-1</f>
        <v>0.11641186383414204</v>
      </c>
      <c r="P15" s="9"/>
      <c r="S15" s="8"/>
      <c r="AC15" s="9"/>
    </row>
    <row r="16" spans="2:31" x14ac:dyDescent="0.25">
      <c r="B16" s="8"/>
      <c r="P16" s="9"/>
      <c r="S16" s="8"/>
      <c r="AC16" s="9"/>
    </row>
    <row r="17" spans="2:29" x14ac:dyDescent="0.25">
      <c r="B17" s="8"/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ht="15.75" thickBot="1" x14ac:dyDescent="0.3">
      <c r="B22" s="8"/>
      <c r="P22" s="9"/>
      <c r="S22" s="10"/>
      <c r="T22" s="11"/>
      <c r="U22" s="11"/>
      <c r="V22" s="11"/>
      <c r="W22" s="11"/>
      <c r="X22" s="11"/>
      <c r="Y22" s="11"/>
      <c r="Z22" s="11"/>
      <c r="AA22" s="11"/>
      <c r="AB22" s="11"/>
      <c r="AC22" s="12"/>
    </row>
    <row r="23" spans="2:29" ht="15.75" thickTop="1" x14ac:dyDescent="0.25">
      <c r="B23" s="8"/>
      <c r="P23" s="9"/>
    </row>
    <row r="24" spans="2:29" x14ac:dyDescent="0.25">
      <c r="B24" s="8"/>
      <c r="P24" s="9"/>
    </row>
    <row r="25" spans="2:29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ht="16.5" customHeight="1" thickBot="1" x14ac:dyDescent="0.3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2"/>
    </row>
    <row r="33" spans="2:31" ht="15.75" thickTop="1" x14ac:dyDescent="0.25"/>
    <row r="35" spans="2:31" ht="15.75" thickBot="1" x14ac:dyDescent="0.3"/>
    <row r="36" spans="2:31" ht="15.75" thickTop="1" x14ac:dyDescent="0.25"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  <c r="S36" s="1"/>
      <c r="T36" s="2"/>
      <c r="U36" s="2"/>
      <c r="V36" s="2"/>
      <c r="W36" s="2"/>
      <c r="X36" s="2"/>
      <c r="Y36" s="2"/>
      <c r="Z36" s="2"/>
      <c r="AA36" s="2"/>
      <c r="AB36" s="2"/>
      <c r="AC36" s="3"/>
    </row>
    <row r="37" spans="2:31" s="6" customFormat="1" ht="61.5" customHeight="1" x14ac:dyDescent="0.25">
      <c r="B37" s="4"/>
      <c r="C37" s="73" t="s">
        <v>29</v>
      </c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5"/>
      <c r="S37" s="4"/>
      <c r="T37" s="73" t="s">
        <v>50</v>
      </c>
      <c r="U37" s="73"/>
      <c r="V37" s="73"/>
      <c r="W37" s="73"/>
      <c r="X37" s="73"/>
      <c r="Y37" s="73"/>
      <c r="Z37" s="73"/>
      <c r="AA37" s="73"/>
      <c r="AB37" s="73"/>
      <c r="AC37" s="5"/>
      <c r="AE37" s="7"/>
    </row>
    <row r="38" spans="2:31" x14ac:dyDescent="0.25">
      <c r="B38" s="8"/>
      <c r="P38" s="9"/>
      <c r="S38" s="8"/>
      <c r="AC38" s="9"/>
    </row>
    <row r="39" spans="2:31" x14ac:dyDescent="0.25">
      <c r="B39" s="8"/>
      <c r="P39" s="9"/>
      <c r="S39" s="8"/>
      <c r="AC39" s="9"/>
    </row>
    <row r="40" spans="2:31" x14ac:dyDescent="0.25">
      <c r="B40" s="8"/>
      <c r="P40" s="9"/>
      <c r="S40" s="8"/>
      <c r="AC40" s="9"/>
    </row>
    <row r="41" spans="2:31" x14ac:dyDescent="0.25">
      <c r="B41" s="8"/>
      <c r="P41" s="9"/>
      <c r="S41" s="8"/>
      <c r="AC41" s="9"/>
    </row>
    <row r="42" spans="2:31" x14ac:dyDescent="0.25">
      <c r="B42" s="8"/>
      <c r="J42" s="63" t="s">
        <v>35</v>
      </c>
      <c r="N42" s="63" t="s">
        <v>35</v>
      </c>
      <c r="P42" s="9"/>
      <c r="S42" s="8"/>
      <c r="V42" s="14"/>
      <c r="AC42" s="9"/>
    </row>
    <row r="43" spans="2:31" x14ac:dyDescent="0.25">
      <c r="B43" s="8"/>
      <c r="I43" t="s">
        <v>1</v>
      </c>
      <c r="J43" s="64">
        <f>'szacunek rynku_10 2025'!I41/'szacunek rynku_10 2025'!I13</f>
        <v>0.89868862275406314</v>
      </c>
      <c r="K43" s="64"/>
      <c r="M43" t="s">
        <v>33</v>
      </c>
      <c r="N43" s="64">
        <f>'szacunek rynku_10 2025'!I14/'szacunek rynku_10 2025'!$I$13</f>
        <v>0.25192166237433772</v>
      </c>
      <c r="O43" s="64"/>
      <c r="P43" s="9"/>
      <c r="S43" s="8"/>
      <c r="V43" s="66"/>
      <c r="Z43" s="13"/>
      <c r="AC43" s="9"/>
    </row>
    <row r="44" spans="2:31" x14ac:dyDescent="0.25">
      <c r="B44" s="8"/>
      <c r="I44" t="s">
        <v>2</v>
      </c>
      <c r="J44" s="64">
        <f>1-J43</f>
        <v>0.10131137724593686</v>
      </c>
      <c r="K44" s="64"/>
      <c r="M44" t="s">
        <v>4</v>
      </c>
      <c r="N44" s="64">
        <f>'szacunek rynku_10 2025'!I15/'szacunek rynku_10 2025'!$I$13</f>
        <v>0.51023861107650059</v>
      </c>
      <c r="O44" s="64"/>
      <c r="P44" s="9"/>
      <c r="S44" s="8"/>
      <c r="V44" s="66"/>
      <c r="Z44" s="13"/>
      <c r="AC44" s="9"/>
    </row>
    <row r="45" spans="2:31" x14ac:dyDescent="0.25">
      <c r="B45" s="8"/>
      <c r="M45" t="s">
        <v>5</v>
      </c>
      <c r="N45" s="64">
        <f>'szacunek rynku_10 2025'!I16/'szacunek rynku_10 2025'!$I$13</f>
        <v>0.18141115762401355</v>
      </c>
      <c r="O45" s="64"/>
      <c r="P45" s="9"/>
      <c r="S45" s="8"/>
      <c r="Z45" s="13"/>
      <c r="AC45" s="9"/>
    </row>
    <row r="46" spans="2:31" x14ac:dyDescent="0.25">
      <c r="B46" s="8"/>
      <c r="M46" t="s">
        <v>6</v>
      </c>
      <c r="N46" s="64">
        <f>'szacunek rynku_10 2025'!I17/'szacunek rynku_10 2025'!$I$13</f>
        <v>5.6428568925147991E-2</v>
      </c>
      <c r="O46" s="64"/>
      <c r="P46" s="9"/>
      <c r="S46" s="8"/>
      <c r="AC46" s="9"/>
    </row>
    <row r="47" spans="2:31" x14ac:dyDescent="0.25">
      <c r="B47" s="8"/>
      <c r="P47" s="9"/>
      <c r="S47" s="8"/>
      <c r="AC47" s="9"/>
    </row>
    <row r="48" spans="2:31" x14ac:dyDescent="0.25">
      <c r="B48" s="8"/>
      <c r="P48" s="9"/>
      <c r="S48" s="8"/>
      <c r="AC48" s="9"/>
    </row>
    <row r="49" spans="2:29" x14ac:dyDescent="0.25">
      <c r="B49" s="8"/>
      <c r="P49" s="9"/>
      <c r="S49" s="8"/>
      <c r="AC49" s="9"/>
    </row>
    <row r="50" spans="2:29" x14ac:dyDescent="0.25">
      <c r="B50" s="8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ht="15.75" thickBot="1" x14ac:dyDescent="0.3">
      <c r="B57" s="8"/>
      <c r="P57" s="9"/>
      <c r="S57" s="10"/>
      <c r="T57" s="11"/>
      <c r="U57" s="11"/>
      <c r="V57" s="11"/>
      <c r="W57" s="11"/>
      <c r="X57" s="11"/>
      <c r="Y57" s="11"/>
      <c r="Z57" s="11"/>
      <c r="AA57" s="11"/>
      <c r="AB57" s="11"/>
      <c r="AC57" s="12"/>
    </row>
    <row r="58" spans="2:29" ht="15.75" thickTop="1" x14ac:dyDescent="0.25">
      <c r="B58" s="8"/>
      <c r="P58" s="9"/>
    </row>
    <row r="59" spans="2:29" x14ac:dyDescent="0.25">
      <c r="B59" s="8"/>
      <c r="P59" s="9"/>
    </row>
    <row r="60" spans="2:29" x14ac:dyDescent="0.25">
      <c r="B60" s="8"/>
      <c r="P60" s="9"/>
    </row>
    <row r="61" spans="2:29" x14ac:dyDescent="0.25">
      <c r="B61" s="8"/>
      <c r="P61" s="9"/>
    </row>
    <row r="62" spans="2:29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ht="16.5" customHeight="1" x14ac:dyDescent="0.25">
      <c r="B65" s="8"/>
      <c r="P65" s="9"/>
    </row>
    <row r="66" spans="2:31" x14ac:dyDescent="0.25">
      <c r="B66" s="8"/>
      <c r="P66" s="9"/>
    </row>
    <row r="67" spans="2:31" ht="15.75" thickBot="1" x14ac:dyDescent="0.3"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2"/>
    </row>
    <row r="68" spans="2:31" ht="15.75" thickTop="1" x14ac:dyDescent="0.25"/>
    <row r="69" spans="2:31" ht="15.75" thickBot="1" x14ac:dyDescent="0.3"/>
    <row r="70" spans="2:31" ht="15.75" thickTop="1" x14ac:dyDescent="0.25"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"/>
      <c r="S70" s="1"/>
      <c r="T70" s="2"/>
      <c r="U70" s="2"/>
      <c r="V70" s="2"/>
      <c r="W70" s="2"/>
      <c r="X70" s="2"/>
      <c r="Y70" s="2"/>
      <c r="Z70" s="2"/>
      <c r="AA70" s="2"/>
      <c r="AB70" s="2"/>
      <c r="AC70" s="3"/>
    </row>
    <row r="71" spans="2:31" s="6" customFormat="1" ht="61.5" customHeight="1" x14ac:dyDescent="0.25">
      <c r="B71" s="4"/>
      <c r="C71" s="73" t="s">
        <v>30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5"/>
      <c r="S71" s="4"/>
      <c r="T71" s="73" t="s">
        <v>51</v>
      </c>
      <c r="U71" s="73"/>
      <c r="V71" s="73"/>
      <c r="W71" s="73"/>
      <c r="X71" s="73"/>
      <c r="Y71" s="73"/>
      <c r="Z71" s="73"/>
      <c r="AA71" s="73"/>
      <c r="AB71" s="73"/>
      <c r="AC71" s="5"/>
      <c r="AE71" s="7"/>
    </row>
    <row r="72" spans="2:31" x14ac:dyDescent="0.25">
      <c r="B72" s="8"/>
      <c r="P72" s="9"/>
      <c r="S72" s="8"/>
      <c r="AC72" s="9"/>
    </row>
    <row r="73" spans="2:31" x14ac:dyDescent="0.25">
      <c r="B73" s="8"/>
      <c r="P73" s="9"/>
      <c r="S73" s="8"/>
      <c r="AC73" s="9"/>
    </row>
    <row r="74" spans="2:31" x14ac:dyDescent="0.25">
      <c r="B74" s="8"/>
      <c r="P74" s="9"/>
      <c r="S74" s="8"/>
      <c r="AC74" s="9"/>
    </row>
    <row r="75" spans="2:31" x14ac:dyDescent="0.25">
      <c r="B75" s="8"/>
      <c r="P75" s="9"/>
      <c r="S75" s="8"/>
      <c r="AC75" s="9"/>
    </row>
    <row r="76" spans="2:31" x14ac:dyDescent="0.25">
      <c r="B76" s="8"/>
      <c r="J76" s="63" t="s">
        <v>35</v>
      </c>
      <c r="N76" s="63" t="s">
        <v>35</v>
      </c>
      <c r="P76" s="9"/>
      <c r="S76" s="8"/>
      <c r="V76" s="14"/>
      <c r="AC76" s="9"/>
    </row>
    <row r="77" spans="2:31" x14ac:dyDescent="0.25">
      <c r="B77" s="8"/>
      <c r="I77" t="s">
        <v>1</v>
      </c>
      <c r="J77" s="13">
        <f>'szacunek rynku_10 2025'!I47/'szacunek rynku_10 2025'!I19</f>
        <v>0.70089679294574636</v>
      </c>
      <c r="M77" t="s">
        <v>24</v>
      </c>
      <c r="N77" s="13">
        <f>'szacunek rynku_10 2025'!I20/'szacunek rynku_10 2025'!$I$19</f>
        <v>0.12912043706229315</v>
      </c>
      <c r="P77" s="9"/>
      <c r="S77" s="8"/>
      <c r="V77" s="66"/>
      <c r="Z77" s="13"/>
      <c r="AC77" s="9"/>
    </row>
    <row r="78" spans="2:31" x14ac:dyDescent="0.25">
      <c r="B78" s="8"/>
      <c r="I78" t="s">
        <v>2</v>
      </c>
      <c r="J78" s="13">
        <f>1-J77</f>
        <v>0.29910320705425364</v>
      </c>
      <c r="M78" t="s">
        <v>23</v>
      </c>
      <c r="N78" s="13">
        <f>'szacunek rynku_10 2025'!I21/'szacunek rynku_10 2025'!$I$19</f>
        <v>0.19525928376397478</v>
      </c>
      <c r="P78" s="9"/>
      <c r="S78" s="8"/>
      <c r="V78" s="66"/>
      <c r="Z78" s="13"/>
      <c r="AC78" s="9"/>
    </row>
    <row r="79" spans="2:31" x14ac:dyDescent="0.25">
      <c r="B79" s="8"/>
      <c r="M79" t="s">
        <v>32</v>
      </c>
      <c r="N79" s="13">
        <f>'szacunek rynku_10 2025'!I22/'szacunek rynku_10 2025'!$I$19</f>
        <v>0.67562027917373213</v>
      </c>
      <c r="P79" s="9"/>
      <c r="S79" s="8"/>
      <c r="Z79" s="13"/>
      <c r="AC79" s="9"/>
    </row>
    <row r="80" spans="2:31" x14ac:dyDescent="0.25">
      <c r="B80" s="8"/>
      <c r="N80" s="13"/>
      <c r="P80" s="9"/>
      <c r="S80" s="8"/>
      <c r="AC80" s="9"/>
    </row>
    <row r="81" spans="2:29" x14ac:dyDescent="0.25">
      <c r="B81" s="8"/>
      <c r="P81" s="9"/>
      <c r="S81" s="8"/>
      <c r="AC81" s="9"/>
    </row>
    <row r="82" spans="2:29" x14ac:dyDescent="0.25">
      <c r="B82" s="8"/>
      <c r="P82" s="9"/>
      <c r="S82" s="8"/>
      <c r="AC82" s="9"/>
    </row>
    <row r="83" spans="2:29" x14ac:dyDescent="0.25">
      <c r="B83" s="8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ht="15.75" thickBot="1" x14ac:dyDescent="0.3">
      <c r="B89" s="8"/>
      <c r="P89" s="9"/>
      <c r="S89" s="10"/>
      <c r="T89" s="11"/>
      <c r="U89" s="11"/>
      <c r="V89" s="11"/>
      <c r="W89" s="11"/>
      <c r="X89" s="11"/>
      <c r="Y89" s="11"/>
      <c r="Z89" s="11"/>
      <c r="AA89" s="11"/>
      <c r="AB89" s="11"/>
      <c r="AC89" s="12"/>
    </row>
    <row r="90" spans="2:29" ht="15.75" thickTop="1" x14ac:dyDescent="0.25">
      <c r="B90" s="8"/>
      <c r="P90" s="9"/>
    </row>
    <row r="91" spans="2:29" x14ac:dyDescent="0.25">
      <c r="B91" s="8"/>
      <c r="P91" s="9"/>
    </row>
    <row r="92" spans="2:29" x14ac:dyDescent="0.25">
      <c r="B92" s="8"/>
      <c r="P92" s="9"/>
    </row>
    <row r="93" spans="2:29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ht="16.5" customHeight="1" x14ac:dyDescent="0.25">
      <c r="B99" s="8"/>
      <c r="P99" s="9"/>
    </row>
    <row r="100" spans="2:31" x14ac:dyDescent="0.25">
      <c r="B100" s="8"/>
      <c r="P100" s="9"/>
    </row>
    <row r="101" spans="2:31" ht="15.75" thickBot="1" x14ac:dyDescent="0.3">
      <c r="B101" s="10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2"/>
    </row>
    <row r="102" spans="2:31" ht="15.75" thickTop="1" x14ac:dyDescent="0.25"/>
    <row r="103" spans="2:31" ht="15.75" thickBot="1" x14ac:dyDescent="0.3"/>
    <row r="104" spans="2:31" ht="15.75" thickTop="1" x14ac:dyDescent="0.25"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3"/>
    </row>
    <row r="105" spans="2:31" s="6" customFormat="1" ht="61.5" customHeight="1" x14ac:dyDescent="0.25">
      <c r="B105" s="4"/>
      <c r="C105" s="73" t="s">
        <v>31</v>
      </c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5"/>
      <c r="T105" s="67"/>
      <c r="U105" s="67"/>
      <c r="V105" s="67"/>
      <c r="W105" s="67"/>
      <c r="X105" s="67"/>
      <c r="Y105" s="67"/>
      <c r="Z105" s="67"/>
      <c r="AA105" s="67"/>
      <c r="AB105" s="67"/>
      <c r="AE105" s="7"/>
    </row>
    <row r="106" spans="2:31" x14ac:dyDescent="0.25">
      <c r="B106" s="8"/>
      <c r="P106" s="9"/>
    </row>
    <row r="107" spans="2:31" x14ac:dyDescent="0.25">
      <c r="B107" s="8"/>
      <c r="P107" s="9"/>
    </row>
    <row r="108" spans="2:31" x14ac:dyDescent="0.25">
      <c r="B108" s="8"/>
      <c r="P108" s="9"/>
    </row>
    <row r="109" spans="2:31" x14ac:dyDescent="0.25">
      <c r="B109" s="8"/>
      <c r="P109" s="9"/>
    </row>
    <row r="110" spans="2:31" x14ac:dyDescent="0.25">
      <c r="B110" s="8"/>
      <c r="J110" s="63" t="s">
        <v>35</v>
      </c>
      <c r="N110" s="63" t="s">
        <v>35</v>
      </c>
      <c r="P110" s="9"/>
      <c r="V110" s="14"/>
    </row>
    <row r="111" spans="2:31" x14ac:dyDescent="0.25">
      <c r="B111" s="8"/>
      <c r="I111" t="s">
        <v>1</v>
      </c>
      <c r="J111" s="64">
        <f>'szacunek rynku_10 2025'!I55/'szacunek rynku_10 2025'!I27</f>
        <v>0.86738529880504012</v>
      </c>
      <c r="M111" t="s">
        <v>25</v>
      </c>
      <c r="N111" s="64">
        <f>('szacunek rynku_10 2025'!I11+'szacunek rynku_10 2025'!I12)/'szacunek rynku_10 2025'!I27</f>
        <v>0.54373275028398471</v>
      </c>
      <c r="P111" s="9"/>
      <c r="V111" s="66"/>
      <c r="Z111" s="13"/>
    </row>
    <row r="112" spans="2:31" x14ac:dyDescent="0.25">
      <c r="B112" s="8"/>
      <c r="I112" t="s">
        <v>2</v>
      </c>
      <c r="J112" s="64">
        <f>1-J111</f>
        <v>0.13261470119495988</v>
      </c>
      <c r="M112" t="s">
        <v>26</v>
      </c>
      <c r="N112" s="64">
        <f>'szacunek rynku_10 2025'!I13/'szacunek rynku_10 2025'!I27</f>
        <v>0.18621343725968664</v>
      </c>
      <c r="P112" s="9"/>
      <c r="V112" s="66"/>
      <c r="Z112" s="13"/>
    </row>
    <row r="113" spans="2:26" x14ac:dyDescent="0.25">
      <c r="B113" s="8"/>
      <c r="M113" t="s">
        <v>27</v>
      </c>
      <c r="N113" s="64">
        <f>'szacunek rynku_10 2025'!I19/'szacunek rynku_10 2025'!I27</f>
        <v>0.23274921561778569</v>
      </c>
      <c r="P113" s="9"/>
      <c r="Z113" s="13"/>
    </row>
    <row r="114" spans="2:26" x14ac:dyDescent="0.25">
      <c r="B114" s="8"/>
      <c r="M114" t="s">
        <v>7</v>
      </c>
      <c r="N114" s="64">
        <f>'szacunek rynku_10 2025'!I23/'szacunek rynku_10 2025'!I27</f>
        <v>1.1246005419402558E-2</v>
      </c>
      <c r="P114" s="9"/>
    </row>
    <row r="115" spans="2:26" x14ac:dyDescent="0.25">
      <c r="B115" s="8"/>
      <c r="M115" t="s">
        <v>22</v>
      </c>
      <c r="N115" s="64">
        <f>('szacunek rynku_10 2025'!I18+'szacunek rynku_10 2025'!I24+'szacunek rynku_10 2025'!I25)/'szacunek rynku_10 2025'!I27</f>
        <v>2.6058591419140336E-2</v>
      </c>
      <c r="P115" s="9"/>
    </row>
    <row r="116" spans="2:26" x14ac:dyDescent="0.25">
      <c r="B116" s="8"/>
      <c r="P116" s="9"/>
    </row>
    <row r="117" spans="2:26" x14ac:dyDescent="0.25">
      <c r="B117" s="8"/>
      <c r="P117" s="9"/>
    </row>
    <row r="118" spans="2:26" x14ac:dyDescent="0.25">
      <c r="B118" s="8"/>
      <c r="P118" s="9"/>
    </row>
    <row r="119" spans="2:26" x14ac:dyDescent="0.25">
      <c r="B119" s="8"/>
      <c r="P119" s="9"/>
    </row>
    <row r="120" spans="2:26" x14ac:dyDescent="0.25">
      <c r="B120" s="8"/>
      <c r="P120" s="9"/>
    </row>
    <row r="121" spans="2:26" x14ac:dyDescent="0.25">
      <c r="B121" s="8"/>
      <c r="P121" s="9"/>
    </row>
    <row r="122" spans="2:26" x14ac:dyDescent="0.25">
      <c r="B122" s="8"/>
      <c r="P122" s="9"/>
    </row>
    <row r="123" spans="2:26" x14ac:dyDescent="0.25">
      <c r="B123" s="8"/>
      <c r="P123" s="9"/>
    </row>
    <row r="124" spans="2:26" x14ac:dyDescent="0.25">
      <c r="B124" s="8"/>
      <c r="P124" s="9"/>
    </row>
    <row r="125" spans="2:26" x14ac:dyDescent="0.25">
      <c r="B125" s="8"/>
      <c r="P125" s="9"/>
    </row>
    <row r="126" spans="2:26" x14ac:dyDescent="0.25">
      <c r="B126" s="8"/>
      <c r="P126" s="9"/>
    </row>
    <row r="127" spans="2:26" x14ac:dyDescent="0.25">
      <c r="B127" s="8"/>
      <c r="P127" s="9"/>
    </row>
    <row r="128" spans="2:2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x14ac:dyDescent="0.25">
      <c r="B132" s="8"/>
      <c r="P132" s="9"/>
    </row>
    <row r="133" spans="2:16" ht="16.5" customHeight="1" x14ac:dyDescent="0.25">
      <c r="B133" s="8"/>
      <c r="P133" s="9"/>
    </row>
    <row r="134" spans="2:16" ht="15.75" thickBot="1" x14ac:dyDescent="0.3">
      <c r="B134" s="10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2"/>
    </row>
    <row r="135" spans="2:16" ht="15.75" thickTop="1" x14ac:dyDescent="0.25"/>
  </sheetData>
  <mergeCells count="7">
    <mergeCell ref="C105:O105"/>
    <mergeCell ref="C4:O4"/>
    <mergeCell ref="T4:AB4"/>
    <mergeCell ref="C37:O37"/>
    <mergeCell ref="T37:AB37"/>
    <mergeCell ref="C71:O71"/>
    <mergeCell ref="T71:AB71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tabSelected="1" zoomScaleNormal="100" workbookViewId="0">
      <selection activeCell="B2" sqref="B2"/>
    </sheetView>
  </sheetViews>
  <sheetFormatPr defaultColWidth="9.140625" defaultRowHeight="12.75" x14ac:dyDescent="0.2"/>
  <cols>
    <col min="1" max="1" width="6.28515625" style="20" customWidth="1"/>
    <col min="2" max="2" width="35.85546875" style="22" customWidth="1"/>
    <col min="3" max="3" width="10.5703125" style="22" bestFit="1" customWidth="1"/>
    <col min="4" max="4" width="10.5703125" style="22" customWidth="1"/>
    <col min="5" max="5" width="2.5703125" style="22" customWidth="1"/>
    <col min="6" max="6" width="10" style="20" bestFit="1" customWidth="1"/>
    <col min="7" max="7" width="2.5703125" style="22" customWidth="1"/>
    <col min="8" max="8" width="10.5703125" style="22" bestFit="1" customWidth="1"/>
    <col min="9" max="9" width="10.5703125" style="22" customWidth="1"/>
    <col min="10" max="10" width="2.5703125" style="22" customWidth="1"/>
    <col min="11" max="11" width="10" style="20" bestFit="1" customWidth="1"/>
    <col min="12" max="12" width="2.5703125" style="22" customWidth="1"/>
    <col min="13" max="13" width="10.5703125" style="22" bestFit="1" customWidth="1"/>
    <col min="14" max="14" width="10.5703125" style="22" customWidth="1"/>
    <col min="15" max="15" width="2.5703125" style="22" customWidth="1"/>
    <col min="16" max="16" width="10" style="20" bestFit="1" customWidth="1"/>
    <col min="17" max="17" width="9" style="22" customWidth="1"/>
    <col min="18" max="18" width="10.42578125" style="22" customWidth="1"/>
    <col min="19" max="21" width="9.140625" style="22"/>
    <col min="22" max="22" width="8.42578125" style="22" customWidth="1"/>
    <col min="23" max="23" width="2.42578125" style="22" customWidth="1"/>
    <col min="24" max="16384" width="9.140625" style="22"/>
  </cols>
  <sheetData>
    <row r="2" spans="2:16" ht="23.25" x14ac:dyDescent="0.35">
      <c r="B2" s="76" t="s">
        <v>52</v>
      </c>
    </row>
    <row r="4" spans="2:16" ht="18" x14ac:dyDescent="0.2">
      <c r="B4" s="21" t="s">
        <v>19</v>
      </c>
    </row>
    <row r="5" spans="2:16" ht="14.25" customHeight="1" x14ac:dyDescent="0.2"/>
    <row r="6" spans="2:16" ht="14.25" customHeight="1" x14ac:dyDescent="0.2"/>
    <row r="7" spans="2:16" ht="45" customHeight="1" x14ac:dyDescent="0.2">
      <c r="C7" s="75" t="str">
        <f>C$35</f>
        <v>I-IX 2025 vs I-IX 2024</v>
      </c>
      <c r="D7" s="75"/>
      <c r="E7" s="75"/>
      <c r="F7" s="75"/>
      <c r="H7" s="75" t="str">
        <f>H$35</f>
        <v>X 2025 vs X 2024</v>
      </c>
      <c r="I7" s="75"/>
      <c r="J7" s="75"/>
      <c r="K7" s="75"/>
      <c r="M7" s="75" t="str">
        <f>M$35</f>
        <v>I-X 2025 vs I-X 2024</v>
      </c>
      <c r="N7" s="75"/>
      <c r="O7" s="75"/>
      <c r="P7" s="75"/>
    </row>
    <row r="8" spans="2:16" x14ac:dyDescent="0.2">
      <c r="F8" s="22"/>
      <c r="K8" s="22"/>
      <c r="P8" s="22"/>
    </row>
    <row r="9" spans="2:16" ht="22.5" x14ac:dyDescent="0.2">
      <c r="C9" s="25" t="str">
        <f>C$37</f>
        <v>I-IX 2024</v>
      </c>
      <c r="D9" s="25" t="str">
        <f>D$37</f>
        <v>I-IX 2025</v>
      </c>
      <c r="F9" s="25" t="str">
        <f>F$37</f>
        <v>I-IX 25/
I-IX 24</v>
      </c>
      <c r="H9" s="25" t="str">
        <f>H$37</f>
        <v>X 2024</v>
      </c>
      <c r="I9" s="25" t="str">
        <f>I$37</f>
        <v>X 2025</v>
      </c>
      <c r="K9" s="25" t="str">
        <f>K$37</f>
        <v>X 2025/
X 2024</v>
      </c>
      <c r="M9" s="25" t="str">
        <f>M$37</f>
        <v>I-X 2024</v>
      </c>
      <c r="N9" s="25" t="str">
        <f>N$37</f>
        <v>I-X 2025</v>
      </c>
      <c r="P9" s="25" t="str">
        <f>P$37</f>
        <v>I-X 25/
I-X 24</v>
      </c>
    </row>
    <row r="10" spans="2:16" x14ac:dyDescent="0.2">
      <c r="B10" s="27" t="s">
        <v>14</v>
      </c>
      <c r="C10" s="68">
        <f>SUM(C11:C12,C14:C18)</f>
        <v>56945.149184725189</v>
      </c>
      <c r="D10" s="68">
        <f>SUM(D11:D12,D14:D18)</f>
        <v>62581.282565622176</v>
      </c>
      <c r="E10" s="54"/>
      <c r="F10" s="55">
        <f t="shared" ref="F10:F25" si="0">IF(C10,D10/C10-1,"")</f>
        <v>9.8974775930674053E-2</v>
      </c>
      <c r="G10" s="54"/>
      <c r="H10" s="68">
        <f>SUM(H11:H12,H14:H18)</f>
        <v>7542.0232731399337</v>
      </c>
      <c r="I10" s="68">
        <f>SUM(I11:I12,I14:I18)</f>
        <v>8507.3054427225579</v>
      </c>
      <c r="J10" s="54"/>
      <c r="K10" s="55">
        <f t="shared" ref="K10:K25" si="1">IF(H10,I10/H10-1,"")</f>
        <v>0.12798716400416943</v>
      </c>
      <c r="L10" s="54"/>
      <c r="M10" s="68">
        <f>SUM(M11:M12,M14:M18)</f>
        <v>64487.172457865119</v>
      </c>
      <c r="N10" s="68">
        <f>SUM(N11:N12,N14:N18)</f>
        <v>71088.588008344726</v>
      </c>
      <c r="O10" s="54"/>
      <c r="P10" s="55">
        <f t="shared" ref="P10:P25" si="2">IF(M10,N10/M10-1,"")</f>
        <v>0.10236788649390482</v>
      </c>
    </row>
    <row r="11" spans="2:16" x14ac:dyDescent="0.2">
      <c r="B11" s="56" t="s">
        <v>0</v>
      </c>
      <c r="C11" s="69">
        <f t="shared" ref="C11:D11" si="3">C39+C66</f>
        <v>36645.770807953093</v>
      </c>
      <c r="D11" s="69">
        <f t="shared" si="3"/>
        <v>41721.068146673104</v>
      </c>
      <c r="E11" s="20"/>
      <c r="F11" s="28">
        <f t="shared" si="0"/>
        <v>0.13849612729713789</v>
      </c>
      <c r="G11" s="20"/>
      <c r="H11" s="69">
        <f t="shared" ref="H11:I11" si="4">H39+H66</f>
        <v>4802.5713851432229</v>
      </c>
      <c r="I11" s="69">
        <f t="shared" si="4"/>
        <v>5397.5067740324403</v>
      </c>
      <c r="J11" s="20"/>
      <c r="K11" s="28">
        <f t="shared" si="1"/>
        <v>0.12387851031837926</v>
      </c>
      <c r="L11" s="20"/>
      <c r="M11" s="69">
        <f>C11+H11</f>
        <v>41448.342193096316</v>
      </c>
      <c r="N11" s="69">
        <f>D11+I11</f>
        <v>47118.574920705541</v>
      </c>
      <c r="O11" s="20"/>
      <c r="P11" s="28">
        <f t="shared" si="2"/>
        <v>0.13680240095473994</v>
      </c>
    </row>
    <row r="12" spans="2:16" x14ac:dyDescent="0.2">
      <c r="B12" s="56" t="s">
        <v>8</v>
      </c>
      <c r="C12" s="69">
        <f t="shared" ref="C12:D12" si="5">C40+C67</f>
        <v>6073.2906951591422</v>
      </c>
      <c r="D12" s="69">
        <f t="shared" si="5"/>
        <v>5949.8291102088351</v>
      </c>
      <c r="E12" s="20"/>
      <c r="F12" s="28">
        <f t="shared" si="0"/>
        <v>-2.0328614444343196E-2</v>
      </c>
      <c r="G12" s="20"/>
      <c r="H12" s="69">
        <f t="shared" ref="H12:I12" si="6">H40+H67</f>
        <v>767.92618009597436</v>
      </c>
      <c r="I12" s="69">
        <f t="shared" si="6"/>
        <v>842.63261231273952</v>
      </c>
      <c r="J12" s="20"/>
      <c r="K12" s="28">
        <f t="shared" si="1"/>
        <v>9.7283351125531992E-2</v>
      </c>
      <c r="L12" s="20"/>
      <c r="M12" s="69">
        <f>C12+H12</f>
        <v>6841.216875255117</v>
      </c>
      <c r="N12" s="69">
        <f>D12+I12</f>
        <v>6792.4617225215743</v>
      </c>
      <c r="O12" s="20"/>
      <c r="P12" s="28">
        <f t="shared" si="2"/>
        <v>-7.1266784290805463E-3</v>
      </c>
    </row>
    <row r="13" spans="2:16" x14ac:dyDescent="0.2">
      <c r="B13" s="29" t="s">
        <v>9</v>
      </c>
      <c r="C13" s="70">
        <f>C14+C15+C16+C17</f>
        <v>13500.008637417635</v>
      </c>
      <c r="D13" s="70">
        <f>D14+D15+D16+D17</f>
        <v>14179.940082514406</v>
      </c>
      <c r="F13" s="59">
        <f t="shared" si="0"/>
        <v>5.0365260005258206E-2</v>
      </c>
      <c r="H13" s="70">
        <f>H14+H15+H16+H17</f>
        <v>1905.0404447157005</v>
      </c>
      <c r="I13" s="70">
        <f>I14+I15+I16+I17</f>
        <v>2137.075251590034</v>
      </c>
      <c r="K13" s="59">
        <f t="shared" si="1"/>
        <v>0.12180046230407537</v>
      </c>
      <c r="M13" s="70">
        <f>M14+M15+M16+M17</f>
        <v>15405.049082133337</v>
      </c>
      <c r="N13" s="70">
        <f>N14+N15+N16+N17</f>
        <v>16317.015334104441</v>
      </c>
      <c r="P13" s="59">
        <f t="shared" si="2"/>
        <v>5.9199178601046842E-2</v>
      </c>
    </row>
    <row r="14" spans="2:16" x14ac:dyDescent="0.2">
      <c r="B14" s="57" t="s">
        <v>10</v>
      </c>
      <c r="C14" s="69">
        <f t="shared" ref="C14:D14" si="7">C42+C69</f>
        <v>3256.3639867818911</v>
      </c>
      <c r="D14" s="69">
        <f t="shared" si="7"/>
        <v>3224.5008058446333</v>
      </c>
      <c r="E14" s="20"/>
      <c r="F14" s="28">
        <f t="shared" si="0"/>
        <v>-9.7848953822716744E-3</v>
      </c>
      <c r="G14" s="20"/>
      <c r="H14" s="69">
        <f t="shared" ref="H14:I14" si="8">H42+H69</f>
        <v>535.4615107671134</v>
      </c>
      <c r="I14" s="69">
        <f t="shared" si="8"/>
        <v>538.37554999961742</v>
      </c>
      <c r="J14" s="20"/>
      <c r="K14" s="28">
        <f t="shared" si="1"/>
        <v>5.4421077405344409E-3</v>
      </c>
      <c r="L14" s="20"/>
      <c r="M14" s="69">
        <f t="shared" ref="M14:N18" si="9">C14+H14</f>
        <v>3791.8254975490045</v>
      </c>
      <c r="N14" s="69">
        <f t="shared" si="9"/>
        <v>3762.8763558442506</v>
      </c>
      <c r="O14" s="20"/>
      <c r="P14" s="28">
        <f t="shared" si="2"/>
        <v>-7.6346186615038336E-3</v>
      </c>
    </row>
    <row r="15" spans="2:16" x14ac:dyDescent="0.2">
      <c r="B15" s="57" t="s">
        <v>4</v>
      </c>
      <c r="C15" s="69">
        <f t="shared" ref="C15:D15" si="10">C43+C70</f>
        <v>6468.8385338517055</v>
      </c>
      <c r="D15" s="69">
        <f t="shared" si="10"/>
        <v>6588.595932026883</v>
      </c>
      <c r="E15" s="20"/>
      <c r="F15" s="28">
        <f t="shared" si="0"/>
        <v>1.8512967598198982E-2</v>
      </c>
      <c r="G15" s="20"/>
      <c r="H15" s="69">
        <f t="shared" ref="H15:I15" si="11">H43+H70</f>
        <v>806.37945596249688</v>
      </c>
      <c r="I15" s="69">
        <f t="shared" si="11"/>
        <v>1090.4183081372621</v>
      </c>
      <c r="J15" s="20"/>
      <c r="K15" s="28">
        <f t="shared" si="1"/>
        <v>0.35223969320465343</v>
      </c>
      <c r="L15" s="20"/>
      <c r="M15" s="69">
        <f t="shared" si="9"/>
        <v>7275.2179898142022</v>
      </c>
      <c r="N15" s="69">
        <f t="shared" si="9"/>
        <v>7679.0142401641451</v>
      </c>
      <c r="O15" s="20"/>
      <c r="P15" s="28">
        <f t="shared" si="2"/>
        <v>5.5502976119105263E-2</v>
      </c>
    </row>
    <row r="16" spans="2:16" x14ac:dyDescent="0.2">
      <c r="B16" s="57" t="s">
        <v>11</v>
      </c>
      <c r="C16" s="69">
        <f t="shared" ref="C16:D16" si="12">C44+C71</f>
        <v>2736.8655004066932</v>
      </c>
      <c r="D16" s="69">
        <f t="shared" si="12"/>
        <v>3014.5833543404906</v>
      </c>
      <c r="E16" s="20"/>
      <c r="F16" s="28">
        <f t="shared" si="0"/>
        <v>0.10147296383126214</v>
      </c>
      <c r="G16" s="20"/>
      <c r="H16" s="69">
        <f t="shared" ref="H16:I16" si="13">H44+H71</f>
        <v>360.17210286145917</v>
      </c>
      <c r="I16" s="69">
        <f t="shared" si="13"/>
        <v>387.68929532057808</v>
      </c>
      <c r="J16" s="20"/>
      <c r="K16" s="28">
        <f t="shared" si="1"/>
        <v>7.6400121609927929E-2</v>
      </c>
      <c r="L16" s="20"/>
      <c r="M16" s="69">
        <f t="shared" si="9"/>
        <v>3097.0376032681525</v>
      </c>
      <c r="N16" s="69">
        <f t="shared" si="9"/>
        <v>3402.2726496610685</v>
      </c>
      <c r="O16" s="20"/>
      <c r="P16" s="28">
        <f t="shared" si="2"/>
        <v>9.8557100524325758E-2</v>
      </c>
    </row>
    <row r="17" spans="2:16" x14ac:dyDescent="0.2">
      <c r="B17" s="57" t="s">
        <v>6</v>
      </c>
      <c r="C17" s="69">
        <f t="shared" ref="C17:D17" si="14">C45+C72</f>
        <v>1037.9406163773451</v>
      </c>
      <c r="D17" s="69">
        <f t="shared" si="14"/>
        <v>1352.2599903024</v>
      </c>
      <c r="E17" s="20"/>
      <c r="F17" s="28">
        <f t="shared" si="0"/>
        <v>0.30282982375437117</v>
      </c>
      <c r="G17" s="20"/>
      <c r="H17" s="69">
        <f t="shared" ref="H17:I17" si="15">H45+H72</f>
        <v>203.02737512463108</v>
      </c>
      <c r="I17" s="69">
        <f t="shared" si="15"/>
        <v>120.59209813257621</v>
      </c>
      <c r="J17" s="20"/>
      <c r="K17" s="28">
        <f t="shared" si="1"/>
        <v>-0.40603035399266163</v>
      </c>
      <c r="L17" s="20"/>
      <c r="M17" s="69">
        <f t="shared" si="9"/>
        <v>1240.9679915019763</v>
      </c>
      <c r="N17" s="69">
        <f t="shared" si="9"/>
        <v>1472.8520884349762</v>
      </c>
      <c r="O17" s="20"/>
      <c r="P17" s="28">
        <f t="shared" si="2"/>
        <v>0.18685743590561477</v>
      </c>
    </row>
    <row r="18" spans="2:16" x14ac:dyDescent="0.2">
      <c r="B18" s="56" t="s">
        <v>12</v>
      </c>
      <c r="C18" s="69">
        <f t="shared" ref="C18:D18" si="16">C46+C73</f>
        <v>726.07904419532065</v>
      </c>
      <c r="D18" s="69">
        <f t="shared" si="16"/>
        <v>730.44522622583304</v>
      </c>
      <c r="E18" s="20"/>
      <c r="F18" s="28">
        <f t="shared" si="0"/>
        <v>6.0133701219144964E-3</v>
      </c>
      <c r="G18" s="20"/>
      <c r="H18" s="69">
        <f t="shared" ref="H18:I18" si="17">H46+H73</f>
        <v>66.485263185036004</v>
      </c>
      <c r="I18" s="69">
        <f t="shared" si="17"/>
        <v>130.0908047873439</v>
      </c>
      <c r="J18" s="20"/>
      <c r="K18" s="28">
        <f t="shared" si="1"/>
        <v>0.95668631746687205</v>
      </c>
      <c r="L18" s="20"/>
      <c r="M18" s="69">
        <f t="shared" si="9"/>
        <v>792.56430738035669</v>
      </c>
      <c r="N18" s="69">
        <f t="shared" si="9"/>
        <v>860.53603101317697</v>
      </c>
      <c r="O18" s="20"/>
      <c r="P18" s="28">
        <f t="shared" si="2"/>
        <v>8.5761777309257825E-2</v>
      </c>
    </row>
    <row r="19" spans="2:16" x14ac:dyDescent="0.2">
      <c r="B19" s="27" t="s">
        <v>27</v>
      </c>
      <c r="C19" s="68">
        <f>SUM(C20:C22)</f>
        <v>19236.857487011228</v>
      </c>
      <c r="D19" s="68">
        <f>SUM(D20:D22)</f>
        <v>19502.32137737262</v>
      </c>
      <c r="E19" s="54"/>
      <c r="F19" s="19">
        <f t="shared" si="0"/>
        <v>1.379975344417006E-2</v>
      </c>
      <c r="G19" s="54"/>
      <c r="H19" s="68">
        <f>SUM(H20:H22)</f>
        <v>2258.5086405506086</v>
      </c>
      <c r="I19" s="68">
        <f>SUM(I20:I22)</f>
        <v>2671.1422969444598</v>
      </c>
      <c r="J19" s="54"/>
      <c r="K19" s="19">
        <f t="shared" si="1"/>
        <v>0.18270182765085807</v>
      </c>
      <c r="L19" s="54"/>
      <c r="M19" s="68">
        <f>SUM(M20:M22)</f>
        <v>21495.36612756184</v>
      </c>
      <c r="N19" s="68">
        <f>SUM(N20:N22)</f>
        <v>22173.463674317081</v>
      </c>
      <c r="O19" s="54"/>
      <c r="P19" s="19">
        <f t="shared" si="2"/>
        <v>3.1546219902985007E-2</v>
      </c>
    </row>
    <row r="20" spans="2:16" x14ac:dyDescent="0.2">
      <c r="B20" s="56" t="s">
        <v>24</v>
      </c>
      <c r="C20" s="69">
        <f t="shared" ref="C20:D20" si="18">C48+C75</f>
        <v>3857.6590673061046</v>
      </c>
      <c r="D20" s="69">
        <f t="shared" si="18"/>
        <v>3546.6125219914029</v>
      </c>
      <c r="E20" s="20"/>
      <c r="F20" s="28">
        <f t="shared" si="0"/>
        <v>-8.0630905916709961E-2</v>
      </c>
      <c r="G20" s="20"/>
      <c r="H20" s="69">
        <f t="shared" ref="H20:I20" si="19">H48+H75</f>
        <v>487.31174392694095</v>
      </c>
      <c r="I20" s="69">
        <f t="shared" si="19"/>
        <v>344.89906083704625</v>
      </c>
      <c r="J20" s="20"/>
      <c r="K20" s="28">
        <f t="shared" si="1"/>
        <v>-0.29224143449176876</v>
      </c>
      <c r="L20" s="20"/>
      <c r="M20" s="69">
        <f t="shared" ref="M20:N25" si="20">C20+H20</f>
        <v>4344.9708112330454</v>
      </c>
      <c r="N20" s="69">
        <f t="shared" si="20"/>
        <v>3891.5115828284493</v>
      </c>
      <c r="O20" s="20"/>
      <c r="P20" s="28">
        <f t="shared" si="2"/>
        <v>-0.10436415987703962</v>
      </c>
    </row>
    <row r="21" spans="2:16" x14ac:dyDescent="0.2">
      <c r="B21" s="56" t="s">
        <v>23</v>
      </c>
      <c r="C21" s="69">
        <f t="shared" ref="C21:D21" si="21">C49+C76</f>
        <v>4621.7439141098148</v>
      </c>
      <c r="D21" s="69">
        <f t="shared" si="21"/>
        <v>6124.6249474556389</v>
      </c>
      <c r="E21" s="20"/>
      <c r="F21" s="28">
        <f t="shared" si="0"/>
        <v>0.32517618052303776</v>
      </c>
      <c r="G21" s="20"/>
      <c r="H21" s="69">
        <f t="shared" ref="H21:I21" si="22">H49+H76</f>
        <v>494.77621018006022</v>
      </c>
      <c r="I21" s="69">
        <f t="shared" si="22"/>
        <v>521.56533173303364</v>
      </c>
      <c r="J21" s="20"/>
      <c r="K21" s="28">
        <f t="shared" si="1"/>
        <v>5.4143915980164659E-2</v>
      </c>
      <c r="L21" s="20"/>
      <c r="M21" s="69">
        <f t="shared" si="20"/>
        <v>5116.5201242898747</v>
      </c>
      <c r="N21" s="69">
        <f t="shared" si="20"/>
        <v>6646.1902791886723</v>
      </c>
      <c r="O21" s="20"/>
      <c r="P21" s="28">
        <f t="shared" si="2"/>
        <v>0.29896689893526052</v>
      </c>
    </row>
    <row r="22" spans="2:16" x14ac:dyDescent="0.2">
      <c r="B22" s="56" t="s">
        <v>13</v>
      </c>
      <c r="C22" s="69">
        <f t="shared" ref="C22:D22" si="23">C50+C77</f>
        <v>10757.454505595311</v>
      </c>
      <c r="D22" s="69">
        <f t="shared" si="23"/>
        <v>9831.0839079255784</v>
      </c>
      <c r="E22" s="20"/>
      <c r="F22" s="28">
        <f t="shared" si="0"/>
        <v>-8.6114293784639862E-2</v>
      </c>
      <c r="G22" s="20"/>
      <c r="H22" s="69">
        <f t="shared" ref="H22:I22" si="24">H50+H77</f>
        <v>1276.4206864436073</v>
      </c>
      <c r="I22" s="69">
        <f t="shared" si="24"/>
        <v>1804.67790437438</v>
      </c>
      <c r="J22" s="20"/>
      <c r="K22" s="28">
        <f t="shared" si="1"/>
        <v>0.41385823932595067</v>
      </c>
      <c r="L22" s="20"/>
      <c r="M22" s="69">
        <f t="shared" si="20"/>
        <v>12033.875192038919</v>
      </c>
      <c r="N22" s="69">
        <f t="shared" si="20"/>
        <v>11635.761812299959</v>
      </c>
      <c r="O22" s="20"/>
      <c r="P22" s="28">
        <f t="shared" si="2"/>
        <v>-3.30827246739549E-2</v>
      </c>
    </row>
    <row r="23" spans="2:16" x14ac:dyDescent="0.2">
      <c r="B23" s="27" t="s">
        <v>7</v>
      </c>
      <c r="C23" s="68">
        <f t="shared" ref="C23:D23" si="25">C51+C78</f>
        <v>718.48601473251961</v>
      </c>
      <c r="D23" s="68">
        <f t="shared" si="25"/>
        <v>932.22673629300857</v>
      </c>
      <c r="E23" s="54"/>
      <c r="F23" s="19">
        <f t="shared" si="0"/>
        <v>0.29748765762693519</v>
      </c>
      <c r="G23" s="54"/>
      <c r="H23" s="68">
        <f t="shared" ref="H23:I23" si="26">H51+H78</f>
        <v>107.90949298926816</v>
      </c>
      <c r="I23" s="68">
        <f t="shared" si="26"/>
        <v>129.06458424660437</v>
      </c>
      <c r="J23" s="54"/>
      <c r="K23" s="19">
        <f t="shared" si="1"/>
        <v>0.19604476558369277</v>
      </c>
      <c r="L23" s="54"/>
      <c r="M23" s="68">
        <f t="shared" si="20"/>
        <v>826.39550772178779</v>
      </c>
      <c r="N23" s="68">
        <f t="shared" si="20"/>
        <v>1061.291320539613</v>
      </c>
      <c r="O23" s="54"/>
      <c r="P23" s="19">
        <f t="shared" si="2"/>
        <v>0.28424139606637921</v>
      </c>
    </row>
    <row r="24" spans="2:16" x14ac:dyDescent="0.2">
      <c r="B24" s="27" t="s">
        <v>15</v>
      </c>
      <c r="C24" s="68">
        <f t="shared" ref="C24:D24" si="27">C52+C79</f>
        <v>1218.2399623802403</v>
      </c>
      <c r="D24" s="68">
        <f t="shared" si="27"/>
        <v>1460.3543420279505</v>
      </c>
      <c r="E24" s="54"/>
      <c r="F24" s="19">
        <f t="shared" si="0"/>
        <v>0.1987411241826762</v>
      </c>
      <c r="G24" s="54"/>
      <c r="H24" s="68">
        <f t="shared" ref="H24:I24" si="28">H52+H79</f>
        <v>100.55937559850936</v>
      </c>
      <c r="I24" s="68">
        <f t="shared" si="28"/>
        <v>126.38616567214879</v>
      </c>
      <c r="J24" s="54"/>
      <c r="K24" s="19">
        <f t="shared" si="1"/>
        <v>0.25683124939791568</v>
      </c>
      <c r="L24" s="54"/>
      <c r="M24" s="68">
        <f t="shared" si="20"/>
        <v>1318.7993379787497</v>
      </c>
      <c r="N24" s="68">
        <f t="shared" si="20"/>
        <v>1586.7405077000992</v>
      </c>
      <c r="O24" s="54"/>
      <c r="P24" s="19">
        <f t="shared" si="2"/>
        <v>0.2031705370219612</v>
      </c>
    </row>
    <row r="25" spans="2:16" x14ac:dyDescent="0.2">
      <c r="B25" s="27" t="s">
        <v>12</v>
      </c>
      <c r="C25" s="68">
        <f t="shared" ref="C25:D25" si="29">C53+C80</f>
        <v>429.52282888951765</v>
      </c>
      <c r="D25" s="68">
        <f t="shared" si="29"/>
        <v>359.76870592935433</v>
      </c>
      <c r="E25" s="54"/>
      <c r="F25" s="19">
        <f t="shared" si="0"/>
        <v>-0.16239910493350185</v>
      </c>
      <c r="G25" s="54"/>
      <c r="H25" s="68">
        <f t="shared" ref="H25:I25" si="30">H53+H80</f>
        <v>103.64010191674332</v>
      </c>
      <c r="I25" s="68">
        <f t="shared" si="30"/>
        <v>42.583997603081045</v>
      </c>
      <c r="J25" s="54"/>
      <c r="K25" s="19">
        <f t="shared" si="1"/>
        <v>-0.58911659854126897</v>
      </c>
      <c r="L25" s="54"/>
      <c r="M25" s="68">
        <f t="shared" si="20"/>
        <v>533.16293080626099</v>
      </c>
      <c r="N25" s="68">
        <f t="shared" si="20"/>
        <v>402.35270353243538</v>
      </c>
      <c r="O25" s="54"/>
      <c r="P25" s="19">
        <f t="shared" si="2"/>
        <v>-0.24534756584823225</v>
      </c>
    </row>
    <row r="26" spans="2:16" ht="13.5" thickBot="1" x14ac:dyDescent="0.25">
      <c r="F26" s="22"/>
      <c r="K26" s="22"/>
      <c r="P26" s="22"/>
    </row>
    <row r="27" spans="2:16" ht="16.5" thickBot="1" x14ac:dyDescent="0.25">
      <c r="B27" s="31" t="s">
        <v>18</v>
      </c>
      <c r="C27" s="61">
        <f>SUM(C10,C20:C25)</f>
        <v>78548.255477738698</v>
      </c>
      <c r="D27" s="62">
        <f>SUM(D10,D20:D25)</f>
        <v>84835.953727245113</v>
      </c>
      <c r="F27" s="32">
        <f>IF(C27,D27/C27-1,"")</f>
        <v>8.0048859281011131E-2</v>
      </c>
      <c r="H27" s="61">
        <f>SUM(H10,H20:H25)</f>
        <v>10112.640884195063</v>
      </c>
      <c r="I27" s="62">
        <f>SUM(I10,I20:I25)</f>
        <v>11476.482487188852</v>
      </c>
      <c r="K27" s="32">
        <f>IF(H27,I27/H27-1,"")</f>
        <v>0.13486502869149852</v>
      </c>
      <c r="M27" s="61">
        <f>SUM(M10,M20:M25)</f>
        <v>88660.896361933745</v>
      </c>
      <c r="N27" s="62">
        <f>SUM(N10,N20:N25)</f>
        <v>96312.436214433954</v>
      </c>
      <c r="P27" s="32">
        <f>IF(M27,N27/M27-1,"")</f>
        <v>8.6301178608266138E-2</v>
      </c>
    </row>
    <row r="34" spans="1:16" ht="18" x14ac:dyDescent="0.2">
      <c r="B34" s="21" t="s">
        <v>20</v>
      </c>
    </row>
    <row r="35" spans="1:16" ht="45" customHeight="1" x14ac:dyDescent="0.2">
      <c r="A35" s="23"/>
      <c r="C35" s="74" t="s">
        <v>37</v>
      </c>
      <c r="D35" s="74"/>
      <c r="E35" s="74"/>
      <c r="F35" s="74"/>
      <c r="H35" s="74" t="s">
        <v>38</v>
      </c>
      <c r="I35" s="74"/>
      <c r="J35" s="74"/>
      <c r="K35" s="74"/>
      <c r="M35" s="74" t="s">
        <v>39</v>
      </c>
      <c r="N35" s="74"/>
      <c r="O35" s="74"/>
      <c r="P35" s="74"/>
    </row>
    <row r="37" spans="1:16" ht="22.5" x14ac:dyDescent="0.2">
      <c r="A37" s="24"/>
      <c r="C37" s="25" t="s">
        <v>40</v>
      </c>
      <c r="D37" s="25" t="s">
        <v>41</v>
      </c>
      <c r="F37" s="25" t="s">
        <v>42</v>
      </c>
      <c r="H37" s="25" t="s">
        <v>43</v>
      </c>
      <c r="I37" s="25" t="s">
        <v>44</v>
      </c>
      <c r="K37" s="25" t="s">
        <v>45</v>
      </c>
      <c r="M37" s="25" t="s">
        <v>46</v>
      </c>
      <c r="N37" s="25" t="s">
        <v>47</v>
      </c>
      <c r="P37" s="25" t="s">
        <v>48</v>
      </c>
    </row>
    <row r="38" spans="1:16" s="54" customFormat="1" x14ac:dyDescent="0.2">
      <c r="A38" s="41"/>
      <c r="B38" s="27" t="s">
        <v>14</v>
      </c>
      <c r="C38" s="68">
        <v>53793.477423701028</v>
      </c>
      <c r="D38" s="68">
        <v>58163.50132057038</v>
      </c>
      <c r="F38" s="55">
        <f t="shared" ref="F38:F53" si="31">IF(C38,D38/C38-1,"")</f>
        <v>8.123705895510569E-2</v>
      </c>
      <c r="H38" s="68">
        <v>7099.3025040091907</v>
      </c>
      <c r="I38" s="68">
        <v>7891.9570740434274</v>
      </c>
      <c r="K38" s="55">
        <f t="shared" ref="K38:K53" si="32">IF(H38,I38/H38-1,"")</f>
        <v>0.11165245734867635</v>
      </c>
      <c r="M38" s="68">
        <f>SUM(M39:M40,M42:M46)</f>
        <v>60892.779927710224</v>
      </c>
      <c r="N38" s="68">
        <f>SUM(N39:N40,N42:N46)</f>
        <v>66055.458394613815</v>
      </c>
      <c r="P38" s="55">
        <f t="shared" ref="P38:P53" si="33">IF(M38,N38/M38-1,"")</f>
        <v>8.4783096994956342E-2</v>
      </c>
    </row>
    <row r="39" spans="1:16" s="20" customFormat="1" ht="11.25" x14ac:dyDescent="0.2">
      <c r="A39" s="26"/>
      <c r="B39" s="56" t="s">
        <v>0</v>
      </c>
      <c r="C39" s="69">
        <v>34883.781850793959</v>
      </c>
      <c r="D39" s="69">
        <v>38956.270435057821</v>
      </c>
      <c r="F39" s="28">
        <f t="shared" si="31"/>
        <v>0.11674446886759138</v>
      </c>
      <c r="H39" s="69">
        <v>4533.371619849232</v>
      </c>
      <c r="I39" s="69">
        <v>5054.2456684044564</v>
      </c>
      <c r="K39" s="28">
        <f t="shared" si="32"/>
        <v>0.11489771680631544</v>
      </c>
      <c r="M39" s="69">
        <f>C39+H39</f>
        <v>39417.153470643192</v>
      </c>
      <c r="N39" s="69">
        <f>D39+I39</f>
        <v>44010.51610346228</v>
      </c>
      <c r="P39" s="28">
        <f t="shared" si="33"/>
        <v>0.11653207368817475</v>
      </c>
    </row>
    <row r="40" spans="1:16" s="20" customFormat="1" ht="11.25" x14ac:dyDescent="0.2">
      <c r="A40" s="26"/>
      <c r="B40" s="56" t="s">
        <v>8</v>
      </c>
      <c r="C40" s="69">
        <v>5761.9525935528609</v>
      </c>
      <c r="D40" s="69">
        <v>5649.0680813146737</v>
      </c>
      <c r="F40" s="28">
        <f t="shared" si="31"/>
        <v>-1.9591364282395385E-2</v>
      </c>
      <c r="H40" s="69">
        <v>740.31135473803249</v>
      </c>
      <c r="I40" s="69">
        <v>810.14372851550854</v>
      </c>
      <c r="K40" s="28">
        <f t="shared" si="32"/>
        <v>9.4328384038074198E-2</v>
      </c>
      <c r="M40" s="69">
        <f>C40+H40</f>
        <v>6502.2639482908935</v>
      </c>
      <c r="N40" s="69">
        <f>D40+I40</f>
        <v>6459.2118098301826</v>
      </c>
      <c r="P40" s="28">
        <f t="shared" si="33"/>
        <v>-6.6210997897165891E-3</v>
      </c>
    </row>
    <row r="41" spans="1:16" x14ac:dyDescent="0.2">
      <c r="A41" s="58"/>
      <c r="B41" s="29" t="s">
        <v>9</v>
      </c>
      <c r="C41" s="70">
        <v>12443.862634671734</v>
      </c>
      <c r="D41" s="70">
        <v>12866.047109849456</v>
      </c>
      <c r="F41" s="59">
        <f t="shared" si="31"/>
        <v>3.3927124364215633E-2</v>
      </c>
      <c r="H41" s="70">
        <v>1761.8261483316892</v>
      </c>
      <c r="I41" s="70">
        <v>1920.5652145732406</v>
      </c>
      <c r="K41" s="59">
        <f t="shared" si="32"/>
        <v>9.009916579559496E-2</v>
      </c>
      <c r="M41" s="70">
        <f>M42+M43+M44+M45</f>
        <v>14205.688783003423</v>
      </c>
      <c r="N41" s="70">
        <f>N42+N43+N44+N45</f>
        <v>14786.612324422696</v>
      </c>
      <c r="P41" s="59">
        <f t="shared" si="33"/>
        <v>4.0893725766703248E-2</v>
      </c>
    </row>
    <row r="42" spans="1:16" s="20" customFormat="1" ht="11.25" x14ac:dyDescent="0.2">
      <c r="A42" s="26"/>
      <c r="B42" s="57" t="s">
        <v>10</v>
      </c>
      <c r="C42" s="69">
        <v>3102.6025109956677</v>
      </c>
      <c r="D42" s="69">
        <v>3057.7424805484516</v>
      </c>
      <c r="F42" s="28">
        <f t="shared" si="31"/>
        <v>-1.4458839083714925E-2</v>
      </c>
      <c r="H42" s="69">
        <v>516.86879743641146</v>
      </c>
      <c r="I42" s="69">
        <v>503.799701957867</v>
      </c>
      <c r="K42" s="28">
        <f t="shared" si="32"/>
        <v>-2.5285131436382113E-2</v>
      </c>
      <c r="M42" s="69">
        <f t="shared" ref="M42:M46" si="34">C42+H42</f>
        <v>3619.4713084320792</v>
      </c>
      <c r="N42" s="69">
        <f t="shared" ref="N42:N46" si="35">D42+I42</f>
        <v>3561.5421825063186</v>
      </c>
      <c r="P42" s="28">
        <f t="shared" si="33"/>
        <v>-1.6004858441841074E-2</v>
      </c>
    </row>
    <row r="43" spans="1:16" s="20" customFormat="1" ht="11.25" x14ac:dyDescent="0.2">
      <c r="A43" s="26"/>
      <c r="B43" s="57" t="s">
        <v>4</v>
      </c>
      <c r="C43" s="69">
        <v>5880.3447077367427</v>
      </c>
      <c r="D43" s="69">
        <v>5864.9383599622597</v>
      </c>
      <c r="F43" s="28">
        <f t="shared" si="31"/>
        <v>-2.6199735798163593E-3</v>
      </c>
      <c r="H43" s="69">
        <v>734.734017733266</v>
      </c>
      <c r="I43" s="69">
        <v>960.05523820251597</v>
      </c>
      <c r="K43" s="28">
        <f t="shared" si="32"/>
        <v>0.306670461733064</v>
      </c>
      <c r="M43" s="69">
        <f t="shared" si="34"/>
        <v>6615.078725470009</v>
      </c>
      <c r="N43" s="69">
        <f t="shared" si="35"/>
        <v>6824.9935981647759</v>
      </c>
      <c r="P43" s="28">
        <f t="shared" si="33"/>
        <v>3.173278526323986E-2</v>
      </c>
    </row>
    <row r="44" spans="1:16" s="20" customFormat="1" ht="11.25" x14ac:dyDescent="0.2">
      <c r="A44" s="26"/>
      <c r="B44" s="57" t="s">
        <v>11</v>
      </c>
      <c r="C44" s="69">
        <v>2483.1948043913776</v>
      </c>
      <c r="D44" s="69">
        <v>2707.5803024080228</v>
      </c>
      <c r="F44" s="28">
        <f t="shared" si="31"/>
        <v>9.0361617066785582E-2</v>
      </c>
      <c r="H44" s="69">
        <v>315.71768511669171</v>
      </c>
      <c r="I44" s="69">
        <v>342.95094708474136</v>
      </c>
      <c r="K44" s="28">
        <f t="shared" si="32"/>
        <v>8.6258272031812355E-2</v>
      </c>
      <c r="M44" s="69">
        <f t="shared" si="34"/>
        <v>2798.9124895080695</v>
      </c>
      <c r="N44" s="69">
        <f t="shared" si="35"/>
        <v>3050.5312494927643</v>
      </c>
      <c r="P44" s="28">
        <f t="shared" si="33"/>
        <v>8.9898759224486868E-2</v>
      </c>
    </row>
    <row r="45" spans="1:16" s="20" customFormat="1" ht="11.25" x14ac:dyDescent="0.2">
      <c r="A45" s="26"/>
      <c r="B45" s="57" t="s">
        <v>6</v>
      </c>
      <c r="C45" s="69">
        <v>977.72061154794596</v>
      </c>
      <c r="D45" s="69">
        <v>1235.7859669307222</v>
      </c>
      <c r="F45" s="28">
        <f t="shared" si="31"/>
        <v>0.26394590881560975</v>
      </c>
      <c r="H45" s="69">
        <v>194.5056480453201</v>
      </c>
      <c r="I45" s="69">
        <v>113.75932732811638</v>
      </c>
      <c r="K45" s="28">
        <f t="shared" si="32"/>
        <v>-0.41513612344249107</v>
      </c>
      <c r="M45" s="69">
        <f t="shared" si="34"/>
        <v>1172.2262595932661</v>
      </c>
      <c r="N45" s="69">
        <f t="shared" si="35"/>
        <v>1349.5452942588386</v>
      </c>
      <c r="P45" s="28">
        <f t="shared" si="33"/>
        <v>0.15126690194356995</v>
      </c>
    </row>
    <row r="46" spans="1:16" s="20" customFormat="1" ht="11.25" x14ac:dyDescent="0.2">
      <c r="A46" s="26"/>
      <c r="B46" s="56" t="s">
        <v>12</v>
      </c>
      <c r="C46" s="69">
        <v>703.88034468247611</v>
      </c>
      <c r="D46" s="69">
        <v>692.11569434843454</v>
      </c>
      <c r="F46" s="28">
        <f t="shared" si="31"/>
        <v>-1.6713991835286546E-2</v>
      </c>
      <c r="H46" s="69">
        <v>63.793381090236984</v>
      </c>
      <c r="I46" s="69">
        <v>107.00246255022078</v>
      </c>
      <c r="K46" s="28">
        <f t="shared" si="32"/>
        <v>0.6773285993238658</v>
      </c>
      <c r="M46" s="69">
        <f t="shared" si="34"/>
        <v>767.67372577271306</v>
      </c>
      <c r="N46" s="69">
        <f t="shared" si="35"/>
        <v>799.11815689865534</v>
      </c>
      <c r="P46" s="28">
        <f t="shared" si="33"/>
        <v>4.0960671272540328E-2</v>
      </c>
    </row>
    <row r="47" spans="1:16" s="54" customFormat="1" x14ac:dyDescent="0.2">
      <c r="A47" s="60"/>
      <c r="B47" s="27" t="s">
        <v>27</v>
      </c>
      <c r="C47" s="68">
        <v>12884.148778150133</v>
      </c>
      <c r="D47" s="68">
        <v>11606.140392041401</v>
      </c>
      <c r="F47" s="19">
        <f t="shared" si="31"/>
        <v>-9.9192302736838212E-2</v>
      </c>
      <c r="H47" s="68">
        <v>1589.6487152512868</v>
      </c>
      <c r="I47" s="68">
        <v>1872.1950694301063</v>
      </c>
      <c r="K47" s="19">
        <f t="shared" si="32"/>
        <v>0.17774137862537476</v>
      </c>
      <c r="M47" s="68">
        <f>SUM(M48:M50)</f>
        <v>14473.797493401418</v>
      </c>
      <c r="N47" s="68">
        <f>SUM(N48:N50)</f>
        <v>13478.335461471506</v>
      </c>
      <c r="P47" s="19">
        <f t="shared" si="33"/>
        <v>-6.87768384478048E-2</v>
      </c>
    </row>
    <row r="48" spans="1:16" s="20" customFormat="1" ht="11.25" x14ac:dyDescent="0.2">
      <c r="A48" s="26"/>
      <c r="B48" s="56" t="s">
        <v>24</v>
      </c>
      <c r="C48" s="69">
        <v>3090.4573341559299</v>
      </c>
      <c r="D48" s="69">
        <v>2980.8414865242612</v>
      </c>
      <c r="F48" s="28">
        <f t="shared" si="31"/>
        <v>-3.5469134752383558E-2</v>
      </c>
      <c r="H48" s="69">
        <v>395.71168234712479</v>
      </c>
      <c r="I48" s="69">
        <v>309.93688927227294</v>
      </c>
      <c r="K48" s="28">
        <f t="shared" si="32"/>
        <v>-0.21676083093146792</v>
      </c>
      <c r="M48" s="69">
        <f t="shared" ref="M48:M53" si="36">C48+H48</f>
        <v>3486.1690165030545</v>
      </c>
      <c r="N48" s="69">
        <f t="shared" ref="N48:N53" si="37">D48+I48</f>
        <v>3290.778375796534</v>
      </c>
      <c r="P48" s="28">
        <f t="shared" si="33"/>
        <v>-5.604738031391121E-2</v>
      </c>
    </row>
    <row r="49" spans="1:16" s="20" customFormat="1" ht="11.25" x14ac:dyDescent="0.2">
      <c r="A49" s="26"/>
      <c r="B49" s="56" t="s">
        <v>23</v>
      </c>
      <c r="C49" s="69">
        <v>1054.3074897394411</v>
      </c>
      <c r="D49" s="69">
        <v>956.2236941071061</v>
      </c>
      <c r="F49" s="28">
        <f t="shared" si="31"/>
        <v>-9.3031488998124412E-2</v>
      </c>
      <c r="H49" s="69">
        <v>122.58961841957371</v>
      </c>
      <c r="I49" s="69">
        <v>110.66378011695834</v>
      </c>
      <c r="K49" s="28">
        <f t="shared" si="32"/>
        <v>-9.7282612152345127E-2</v>
      </c>
      <c r="M49" s="69">
        <f t="shared" si="36"/>
        <v>1176.8971081590148</v>
      </c>
      <c r="N49" s="69">
        <f t="shared" si="37"/>
        <v>1066.8874742240644</v>
      </c>
      <c r="P49" s="28">
        <f t="shared" si="33"/>
        <v>-9.3474300490919981E-2</v>
      </c>
    </row>
    <row r="50" spans="1:16" s="20" customFormat="1" ht="11.25" x14ac:dyDescent="0.2">
      <c r="A50" s="26"/>
      <c r="B50" s="56" t="s">
        <v>13</v>
      </c>
      <c r="C50" s="69">
        <v>8739.3839542547612</v>
      </c>
      <c r="D50" s="69">
        <v>7669.0752114100342</v>
      </c>
      <c r="F50" s="28">
        <f t="shared" si="31"/>
        <v>-0.12246958692364673</v>
      </c>
      <c r="H50" s="69">
        <v>1071.3474144845884</v>
      </c>
      <c r="I50" s="69">
        <v>1451.5944000408751</v>
      </c>
      <c r="K50" s="28">
        <f t="shared" si="32"/>
        <v>0.35492407076860188</v>
      </c>
      <c r="M50" s="69">
        <f t="shared" si="36"/>
        <v>9810.7313687393489</v>
      </c>
      <c r="N50" s="69">
        <f t="shared" si="37"/>
        <v>9120.6696114509086</v>
      </c>
      <c r="P50" s="28">
        <f t="shared" si="33"/>
        <v>-7.0337442882926648E-2</v>
      </c>
    </row>
    <row r="51" spans="1:16" s="54" customFormat="1" x14ac:dyDescent="0.2">
      <c r="A51" s="60"/>
      <c r="B51" s="27" t="s">
        <v>7</v>
      </c>
      <c r="C51" s="68">
        <v>604.91070941049873</v>
      </c>
      <c r="D51" s="68">
        <v>770.00583448842269</v>
      </c>
      <c r="F51" s="19">
        <f t="shared" si="31"/>
        <v>0.27292478461625103</v>
      </c>
      <c r="H51" s="68">
        <v>92.621752934174339</v>
      </c>
      <c r="I51" s="68">
        <v>99.215958519021754</v>
      </c>
      <c r="K51" s="19">
        <f t="shared" si="32"/>
        <v>7.1194998755139904E-2</v>
      </c>
      <c r="M51" s="68">
        <f t="shared" si="36"/>
        <v>697.53246234467304</v>
      </c>
      <c r="N51" s="68">
        <f t="shared" si="37"/>
        <v>869.22179300744449</v>
      </c>
      <c r="P51" s="19">
        <f t="shared" si="33"/>
        <v>0.24613812249778033</v>
      </c>
    </row>
    <row r="52" spans="1:16" s="54" customFormat="1" x14ac:dyDescent="0.2">
      <c r="A52" s="60"/>
      <c r="B52" s="27" t="s">
        <v>15</v>
      </c>
      <c r="C52" s="68">
        <v>1113.391342892633</v>
      </c>
      <c r="D52" s="68">
        <v>1344.5714264991598</v>
      </c>
      <c r="F52" s="19">
        <f t="shared" si="31"/>
        <v>0.2076359629363671</v>
      </c>
      <c r="H52" s="68">
        <v>97.50147665057581</v>
      </c>
      <c r="I52" s="68">
        <v>54.602063704247747</v>
      </c>
      <c r="K52" s="19">
        <f t="shared" si="32"/>
        <v>-0.43998731526980128</v>
      </c>
      <c r="M52" s="68">
        <f t="shared" si="36"/>
        <v>1210.8928195432088</v>
      </c>
      <c r="N52" s="68">
        <f t="shared" si="37"/>
        <v>1399.1734902034075</v>
      </c>
      <c r="P52" s="19">
        <f t="shared" si="33"/>
        <v>0.15548912969128414</v>
      </c>
    </row>
    <row r="53" spans="1:16" s="54" customFormat="1" x14ac:dyDescent="0.2">
      <c r="A53" s="60"/>
      <c r="B53" s="27" t="s">
        <v>12</v>
      </c>
      <c r="C53" s="68">
        <v>360.0036392357718</v>
      </c>
      <c r="D53" s="68">
        <v>307.3769248971559</v>
      </c>
      <c r="F53" s="19">
        <f t="shared" si="31"/>
        <v>-0.14618383983654637</v>
      </c>
      <c r="H53" s="68">
        <v>35.167302768453141</v>
      </c>
      <c r="I53" s="68">
        <v>36.562025684310505</v>
      </c>
      <c r="K53" s="19">
        <f t="shared" si="32"/>
        <v>3.9659649903788008E-2</v>
      </c>
      <c r="M53" s="68">
        <f t="shared" si="36"/>
        <v>395.17094200422491</v>
      </c>
      <c r="N53" s="68">
        <f t="shared" si="37"/>
        <v>343.93895058146643</v>
      </c>
      <c r="P53" s="19">
        <f t="shared" si="33"/>
        <v>-0.12964513828602997</v>
      </c>
    </row>
    <row r="54" spans="1:16" ht="11.25" customHeight="1" thickBot="1" x14ac:dyDescent="0.25">
      <c r="A54" s="22"/>
      <c r="F54" s="22"/>
      <c r="K54" s="22"/>
      <c r="P54" s="22"/>
    </row>
    <row r="55" spans="1:16" ht="16.5" thickBot="1" x14ac:dyDescent="0.25">
      <c r="A55" s="30"/>
      <c r="B55" s="31" t="s">
        <v>16</v>
      </c>
      <c r="C55" s="61">
        <v>68755.931893390065</v>
      </c>
      <c r="D55" s="62">
        <v>72191.595898496496</v>
      </c>
      <c r="F55" s="32">
        <f>IF(C55,D55/C55-1,"")</f>
        <v>4.9968983191641225E-2</v>
      </c>
      <c r="H55" s="61">
        <v>8914.2417516136811</v>
      </c>
      <c r="I55" s="62">
        <v>9954.5321913811131</v>
      </c>
      <c r="K55" s="32">
        <f>IF(H55,I55/H55-1,"")</f>
        <v>0.116699823580521</v>
      </c>
      <c r="M55" s="61">
        <f>SUM(M38,M48:M53)</f>
        <v>77670.173645003757</v>
      </c>
      <c r="N55" s="62">
        <f>SUM(N38,N48:N53)</f>
        <v>82146.128089877631</v>
      </c>
      <c r="P55" s="32">
        <f>IF(M55,N55/M55-1,"")</f>
        <v>5.7627712606019177E-2</v>
      </c>
    </row>
    <row r="56" spans="1:16" ht="6" customHeight="1" x14ac:dyDescent="0.2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">
      <c r="B62" s="21" t="s">
        <v>21</v>
      </c>
    </row>
    <row r="63" spans="1:16" ht="45" customHeight="1" x14ac:dyDescent="0.2">
      <c r="A63" s="23"/>
      <c r="C63" s="75" t="str">
        <f>C$35</f>
        <v>I-IX 2025 vs I-IX 2024</v>
      </c>
      <c r="D63" s="75"/>
      <c r="E63" s="75"/>
      <c r="F63" s="75"/>
      <c r="H63" s="75" t="str">
        <f>H$35</f>
        <v>X 2025 vs X 2024</v>
      </c>
      <c r="I63" s="75"/>
      <c r="J63" s="75"/>
      <c r="K63" s="75"/>
      <c r="M63" s="75" t="str">
        <f>M$35</f>
        <v>I-X 2025 vs I-X 2024</v>
      </c>
      <c r="N63" s="75"/>
      <c r="O63" s="75"/>
      <c r="P63" s="75"/>
    </row>
    <row r="64" spans="1:16" ht="22.5" x14ac:dyDescent="0.2">
      <c r="A64" s="24"/>
      <c r="C64" s="25" t="str">
        <f>C$37</f>
        <v>I-IX 2024</v>
      </c>
      <c r="D64" s="25" t="str">
        <f>D$37</f>
        <v>I-IX 2025</v>
      </c>
      <c r="F64" s="25" t="str">
        <f>F$37</f>
        <v>I-IX 25/
I-IX 24</v>
      </c>
      <c r="H64" s="25" t="str">
        <f>H$37</f>
        <v>X 2024</v>
      </c>
      <c r="I64" s="25" t="str">
        <f>I$37</f>
        <v>X 2025</v>
      </c>
      <c r="K64" s="25" t="str">
        <f>K$37</f>
        <v>X 2025/
X 2024</v>
      </c>
      <c r="M64" s="25" t="str">
        <f>M$37</f>
        <v>I-X 2024</v>
      </c>
      <c r="N64" s="25" t="str">
        <f>N$37</f>
        <v>I-X 2025</v>
      </c>
      <c r="P64" s="25" t="str">
        <f>P$37</f>
        <v>I-X 25/
I-X 24</v>
      </c>
    </row>
    <row r="65" spans="1:16" s="54" customFormat="1" x14ac:dyDescent="0.2">
      <c r="A65" s="41"/>
      <c r="B65" s="27" t="s">
        <v>14</v>
      </c>
      <c r="C65" s="68">
        <v>3151.6717610241622</v>
      </c>
      <c r="D65" s="68">
        <v>4417.7812450517968</v>
      </c>
      <c r="F65" s="55">
        <f t="shared" ref="F65:F80" si="38">IF(C65,D65/C65-1,"")</f>
        <v>0.40172631543844584</v>
      </c>
      <c r="H65" s="68">
        <v>442.72076913074307</v>
      </c>
      <c r="I65" s="68">
        <v>615.34836867913077</v>
      </c>
      <c r="K65" s="55">
        <f t="shared" ref="K65:K80" si="39">IF(H65,I65/H65-1,"")</f>
        <v>0.38992433060534326</v>
      </c>
      <c r="M65" s="68">
        <f>SUM(M66:M67,M69:M73)</f>
        <v>3594.3925301549043</v>
      </c>
      <c r="N65" s="68">
        <f>SUM(N66:N67,N69:N73)</f>
        <v>5033.1296137309273</v>
      </c>
      <c r="P65" s="55">
        <f t="shared" ref="P65:P80" si="40">IF(M65,N65/M65-1,"")</f>
        <v>0.40027266680136875</v>
      </c>
    </row>
    <row r="66" spans="1:16" s="20" customFormat="1" ht="11.25" x14ac:dyDescent="0.2">
      <c r="A66" s="26"/>
      <c r="B66" s="56" t="s">
        <v>0</v>
      </c>
      <c r="C66" s="69">
        <v>1761.9889571591355</v>
      </c>
      <c r="D66" s="69">
        <v>2764.7977116152865</v>
      </c>
      <c r="F66" s="28">
        <f t="shared" si="38"/>
        <v>0.56913452855742364</v>
      </c>
      <c r="H66" s="69">
        <v>269.19976529399082</v>
      </c>
      <c r="I66" s="69">
        <v>343.26110562798357</v>
      </c>
      <c r="K66" s="28">
        <f t="shared" si="39"/>
        <v>0.27511666012453984</v>
      </c>
      <c r="M66" s="69">
        <f>C66+H66</f>
        <v>2031.1887224531263</v>
      </c>
      <c r="N66" s="69">
        <f>D66+I66</f>
        <v>3108.0588172432699</v>
      </c>
      <c r="P66" s="28">
        <f t="shared" si="40"/>
        <v>0.53016742505815806</v>
      </c>
    </row>
    <row r="67" spans="1:16" s="20" customFormat="1" ht="11.25" x14ac:dyDescent="0.2">
      <c r="A67" s="26"/>
      <c r="B67" s="56" t="s">
        <v>8</v>
      </c>
      <c r="C67" s="69">
        <v>311.3381016062811</v>
      </c>
      <c r="D67" s="69">
        <v>300.76102889416114</v>
      </c>
      <c r="F67" s="28">
        <f t="shared" si="38"/>
        <v>-3.397294663759387E-2</v>
      </c>
      <c r="H67" s="69">
        <v>27.614825357941843</v>
      </c>
      <c r="I67" s="69">
        <v>32.48888379723099</v>
      </c>
      <c r="K67" s="28">
        <f t="shared" si="39"/>
        <v>0.17650151236199663</v>
      </c>
      <c r="M67" s="69">
        <f>C67+H67</f>
        <v>338.95292696422297</v>
      </c>
      <c r="N67" s="69">
        <f>D67+I67</f>
        <v>333.24991269139213</v>
      </c>
      <c r="P67" s="28">
        <f t="shared" si="40"/>
        <v>-1.6825387300558159E-2</v>
      </c>
    </row>
    <row r="68" spans="1:16" x14ac:dyDescent="0.2">
      <c r="A68" s="58"/>
      <c r="B68" s="29" t="s">
        <v>9</v>
      </c>
      <c r="C68" s="70">
        <v>1056.1460027459009</v>
      </c>
      <c r="D68" s="70">
        <v>1313.8929726649512</v>
      </c>
      <c r="F68" s="59">
        <f t="shared" si="38"/>
        <v>0.24404482831817509</v>
      </c>
      <c r="H68" s="70">
        <v>143.21429638401131</v>
      </c>
      <c r="I68" s="70">
        <v>216.51003701679298</v>
      </c>
      <c r="K68" s="59">
        <f t="shared" si="39"/>
        <v>0.51179066953098218</v>
      </c>
      <c r="M68" s="70">
        <f>M69+M70+M71+M72</f>
        <v>1199.3602991299122</v>
      </c>
      <c r="N68" s="70">
        <f>N69+N70+N71+N72</f>
        <v>1530.4030096817442</v>
      </c>
      <c r="P68" s="59">
        <f t="shared" si="40"/>
        <v>0.27601606522409505</v>
      </c>
    </row>
    <row r="69" spans="1:16" s="20" customFormat="1" ht="11.25" x14ac:dyDescent="0.2">
      <c r="A69" s="26"/>
      <c r="B69" s="57" t="s">
        <v>10</v>
      </c>
      <c r="C69" s="69">
        <v>153.7614757862234</v>
      </c>
      <c r="D69" s="69">
        <v>166.75832529618174</v>
      </c>
      <c r="F69" s="28">
        <f t="shared" si="38"/>
        <v>8.4526045574822906E-2</v>
      </c>
      <c r="H69" s="69">
        <v>18.592713330701983</v>
      </c>
      <c r="I69" s="69">
        <v>34.575848041750383</v>
      </c>
      <c r="K69" s="28">
        <f t="shared" si="39"/>
        <v>0.8596450892756784</v>
      </c>
      <c r="M69" s="69">
        <f t="shared" ref="M69:M73" si="41">C69+H69</f>
        <v>172.3541891169254</v>
      </c>
      <c r="N69" s="69">
        <f t="shared" ref="N69:N73" si="42">D69+I69</f>
        <v>201.33417333793213</v>
      </c>
      <c r="P69" s="28">
        <f t="shared" si="40"/>
        <v>0.16814203570849484</v>
      </c>
    </row>
    <row r="70" spans="1:16" s="20" customFormat="1" ht="11.25" x14ac:dyDescent="0.2">
      <c r="A70" s="26"/>
      <c r="B70" s="57" t="s">
        <v>4</v>
      </c>
      <c r="C70" s="69">
        <v>588.49382611496264</v>
      </c>
      <c r="D70" s="69">
        <v>723.65757206462376</v>
      </c>
      <c r="F70" s="28">
        <f t="shared" si="38"/>
        <v>0.22967742387709733</v>
      </c>
      <c r="H70" s="69">
        <v>71.645438229230862</v>
      </c>
      <c r="I70" s="69">
        <v>130.36306993474608</v>
      </c>
      <c r="K70" s="28">
        <f t="shared" si="39"/>
        <v>0.81955855329751914</v>
      </c>
      <c r="M70" s="69">
        <f t="shared" si="41"/>
        <v>660.13926434419352</v>
      </c>
      <c r="N70" s="69">
        <f t="shared" si="42"/>
        <v>854.0206419993699</v>
      </c>
      <c r="P70" s="28">
        <f t="shared" si="40"/>
        <v>0.2936976909679585</v>
      </c>
    </row>
    <row r="71" spans="1:16" s="20" customFormat="1" ht="11.25" x14ac:dyDescent="0.2">
      <c r="A71" s="26"/>
      <c r="B71" s="57" t="s">
        <v>11</v>
      </c>
      <c r="C71" s="69">
        <v>253.67069601531566</v>
      </c>
      <c r="D71" s="69">
        <v>307.00305193246794</v>
      </c>
      <c r="F71" s="28">
        <f t="shared" si="38"/>
        <v>0.21024247875258051</v>
      </c>
      <c r="H71" s="69">
        <v>44.454417744767483</v>
      </c>
      <c r="I71" s="69">
        <v>44.73834823583671</v>
      </c>
      <c r="K71" s="28">
        <f t="shared" si="39"/>
        <v>6.3870028103707455E-3</v>
      </c>
      <c r="M71" s="69">
        <f t="shared" si="41"/>
        <v>298.12511376008314</v>
      </c>
      <c r="N71" s="69">
        <f t="shared" si="42"/>
        <v>351.74140016830466</v>
      </c>
      <c r="P71" s="28">
        <f t="shared" si="40"/>
        <v>0.17984491722951379</v>
      </c>
    </row>
    <row r="72" spans="1:16" s="20" customFormat="1" ht="11.25" x14ac:dyDescent="0.2">
      <c r="A72" s="26"/>
      <c r="B72" s="57" t="s">
        <v>6</v>
      </c>
      <c r="C72" s="69">
        <v>60.22000482939908</v>
      </c>
      <c r="D72" s="69">
        <v>116.47402337167766</v>
      </c>
      <c r="F72" s="28">
        <f t="shared" si="38"/>
        <v>0.93414171423008052</v>
      </c>
      <c r="H72" s="69">
        <v>8.5217270793109794</v>
      </c>
      <c r="I72" s="69">
        <v>6.8327708044598259</v>
      </c>
      <c r="K72" s="28">
        <f t="shared" si="39"/>
        <v>-0.19819412885817433</v>
      </c>
      <c r="M72" s="69">
        <f t="shared" si="41"/>
        <v>68.741731908710065</v>
      </c>
      <c r="N72" s="69">
        <f t="shared" si="42"/>
        <v>123.30679417613749</v>
      </c>
      <c r="P72" s="28">
        <f t="shared" si="40"/>
        <v>0.79376909414925056</v>
      </c>
    </row>
    <row r="73" spans="1:16" s="20" customFormat="1" ht="11.25" x14ac:dyDescent="0.2">
      <c r="A73" s="26"/>
      <c r="B73" s="56" t="s">
        <v>12</v>
      </c>
      <c r="C73" s="69">
        <v>22.198699512844573</v>
      </c>
      <c r="D73" s="69">
        <v>38.329531877398459</v>
      </c>
      <c r="F73" s="28">
        <f t="shared" si="38"/>
        <v>0.72665663838641947</v>
      </c>
      <c r="H73" s="69">
        <v>2.6918820947990136</v>
      </c>
      <c r="I73" s="69">
        <v>23.088342237123104</v>
      </c>
      <c r="K73" s="28">
        <f t="shared" si="39"/>
        <v>7.5770258220938054</v>
      </c>
      <c r="M73" s="69">
        <f t="shared" si="41"/>
        <v>24.890581607643586</v>
      </c>
      <c r="N73" s="69">
        <f t="shared" si="42"/>
        <v>61.417874114521567</v>
      </c>
      <c r="P73" s="28">
        <f t="shared" si="40"/>
        <v>1.4675146239114358</v>
      </c>
    </row>
    <row r="74" spans="1:16" s="54" customFormat="1" x14ac:dyDescent="0.2">
      <c r="A74" s="60"/>
      <c r="B74" s="27" t="s">
        <v>27</v>
      </c>
      <c r="C74" s="68">
        <v>6352.7087088610979</v>
      </c>
      <c r="D74" s="68">
        <v>7896.1809853312179</v>
      </c>
      <c r="F74" s="19">
        <f t="shared" si="38"/>
        <v>0.24296285997140132</v>
      </c>
      <c r="H74" s="68">
        <v>668.85992529932162</v>
      </c>
      <c r="I74" s="68">
        <v>798.94722751435336</v>
      </c>
      <c r="K74" s="19">
        <f t="shared" si="39"/>
        <v>0.19449109939845233</v>
      </c>
      <c r="M74" s="68">
        <f>SUM(M75:M77)</f>
        <v>7021.5686341604196</v>
      </c>
      <c r="N74" s="68">
        <f>SUM(N75:N77)</f>
        <v>8695.1282128455714</v>
      </c>
      <c r="P74" s="19">
        <f t="shared" si="40"/>
        <v>0.23834554155650745</v>
      </c>
    </row>
    <row r="75" spans="1:16" s="20" customFormat="1" ht="11.25" x14ac:dyDescent="0.2">
      <c r="A75" s="26"/>
      <c r="B75" s="56" t="s">
        <v>24</v>
      </c>
      <c r="C75" s="69">
        <v>767.20173315017496</v>
      </c>
      <c r="D75" s="69">
        <v>565.7710354671417</v>
      </c>
      <c r="F75" s="28">
        <f t="shared" si="38"/>
        <v>-0.26255245391058635</v>
      </c>
      <c r="H75" s="69">
        <v>91.600061579816156</v>
      </c>
      <c r="I75" s="69">
        <v>34.962171564773335</v>
      </c>
      <c r="K75" s="28">
        <f t="shared" si="39"/>
        <v>-0.61831716090814104</v>
      </c>
      <c r="M75" s="69">
        <f t="shared" ref="M75:M80" si="43">C75+H75</f>
        <v>858.80179472999112</v>
      </c>
      <c r="N75" s="69">
        <f t="shared" ref="N75:N80" si="44">D75+I75</f>
        <v>600.73320703191507</v>
      </c>
      <c r="P75" s="28">
        <f t="shared" si="40"/>
        <v>-0.30049842615805578</v>
      </c>
    </row>
    <row r="76" spans="1:16" s="20" customFormat="1" ht="11.25" x14ac:dyDescent="0.2">
      <c r="A76" s="26"/>
      <c r="B76" s="56" t="s">
        <v>23</v>
      </c>
      <c r="C76" s="69">
        <v>3567.4364243703735</v>
      </c>
      <c r="D76" s="69">
        <v>5168.4012533485329</v>
      </c>
      <c r="F76" s="28">
        <f t="shared" si="38"/>
        <v>0.44877178974835363</v>
      </c>
      <c r="H76" s="69">
        <v>372.18659176048652</v>
      </c>
      <c r="I76" s="69">
        <v>410.90155161607527</v>
      </c>
      <c r="K76" s="28">
        <f t="shared" si="39"/>
        <v>0.10402029711081862</v>
      </c>
      <c r="M76" s="69">
        <f t="shared" si="43"/>
        <v>3939.6230161308599</v>
      </c>
      <c r="N76" s="69">
        <f t="shared" si="44"/>
        <v>5579.3028049646082</v>
      </c>
      <c r="P76" s="28">
        <f t="shared" si="40"/>
        <v>0.41620220567299171</v>
      </c>
    </row>
    <row r="77" spans="1:16" s="20" customFormat="1" ht="11.25" x14ac:dyDescent="0.2">
      <c r="A77" s="26"/>
      <c r="B77" s="56" t="s">
        <v>13</v>
      </c>
      <c r="C77" s="69">
        <v>2018.0705513405494</v>
      </c>
      <c r="D77" s="69">
        <v>2162.0086965155433</v>
      </c>
      <c r="F77" s="28">
        <f t="shared" si="38"/>
        <v>7.132463484954954E-2</v>
      </c>
      <c r="H77" s="69">
        <v>205.07327195901891</v>
      </c>
      <c r="I77" s="69">
        <v>353.08350433350478</v>
      </c>
      <c r="K77" s="28">
        <f t="shared" si="39"/>
        <v>0.72174316506767244</v>
      </c>
      <c r="M77" s="69">
        <f t="shared" si="43"/>
        <v>2223.1438232995683</v>
      </c>
      <c r="N77" s="69">
        <f t="shared" si="44"/>
        <v>2515.0922008490479</v>
      </c>
      <c r="P77" s="28">
        <f t="shared" si="40"/>
        <v>0.13132230784609011</v>
      </c>
    </row>
    <row r="78" spans="1:16" s="54" customFormat="1" x14ac:dyDescent="0.2">
      <c r="A78" s="60"/>
      <c r="B78" s="27" t="s">
        <v>7</v>
      </c>
      <c r="C78" s="68">
        <v>113.57530532202091</v>
      </c>
      <c r="D78" s="68">
        <v>162.22090180458594</v>
      </c>
      <c r="F78" s="19">
        <f t="shared" si="38"/>
        <v>0.42831138639372179</v>
      </c>
      <c r="H78" s="68">
        <v>15.287740055093826</v>
      </c>
      <c r="I78" s="68">
        <v>29.848625727582625</v>
      </c>
      <c r="K78" s="19">
        <f t="shared" si="39"/>
        <v>0.95245507969225041</v>
      </c>
      <c r="M78" s="68">
        <f t="shared" si="43"/>
        <v>128.86304537711473</v>
      </c>
      <c r="N78" s="68">
        <f t="shared" si="44"/>
        <v>192.06952753216856</v>
      </c>
      <c r="P78" s="19">
        <f t="shared" si="40"/>
        <v>0.4904934690165168</v>
      </c>
    </row>
    <row r="79" spans="1:16" s="54" customFormat="1" x14ac:dyDescent="0.2">
      <c r="A79" s="60"/>
      <c r="B79" s="27" t="s">
        <v>15</v>
      </c>
      <c r="C79" s="68">
        <v>104.84861948760727</v>
      </c>
      <c r="D79" s="68">
        <v>115.78291552879077</v>
      </c>
      <c r="F79" s="19">
        <f t="shared" si="38"/>
        <v>0.10428650462561317</v>
      </c>
      <c r="H79" s="68">
        <v>3.0578989479335483</v>
      </c>
      <c r="I79" s="68">
        <v>71.784101967901051</v>
      </c>
      <c r="K79" s="19">
        <f t="shared" si="39"/>
        <v>22.474975200344979</v>
      </c>
      <c r="M79" s="68">
        <f t="shared" si="43"/>
        <v>107.90651843554082</v>
      </c>
      <c r="N79" s="68">
        <f t="shared" si="44"/>
        <v>187.56701749669182</v>
      </c>
      <c r="P79" s="19">
        <f t="shared" si="40"/>
        <v>0.73823620867479933</v>
      </c>
    </row>
    <row r="80" spans="1:16" s="54" customFormat="1" x14ac:dyDescent="0.2">
      <c r="A80" s="60"/>
      <c r="B80" s="27" t="s">
        <v>12</v>
      </c>
      <c r="C80" s="68">
        <v>69.519189653745855</v>
      </c>
      <c r="D80" s="68">
        <v>52.391781032198409</v>
      </c>
      <c r="F80" s="19">
        <f t="shared" si="38"/>
        <v>-0.24636950900684995</v>
      </c>
      <c r="H80" s="68">
        <v>68.472799148290179</v>
      </c>
      <c r="I80" s="68">
        <v>6.0219719187705412</v>
      </c>
      <c r="K80" s="19">
        <f t="shared" si="39"/>
        <v>-0.91205307810289926</v>
      </c>
      <c r="M80" s="68">
        <f t="shared" si="43"/>
        <v>137.99198880203602</v>
      </c>
      <c r="N80" s="68">
        <f t="shared" si="44"/>
        <v>58.413752950968949</v>
      </c>
      <c r="P80" s="19">
        <f t="shared" si="40"/>
        <v>-0.57668736092520845</v>
      </c>
    </row>
    <row r="81" spans="1:16" ht="11.25" customHeight="1" thickBot="1" x14ac:dyDescent="0.25">
      <c r="A81" s="22"/>
      <c r="F81" s="22"/>
      <c r="K81" s="22"/>
      <c r="P81" s="22"/>
    </row>
    <row r="82" spans="1:16" ht="16.5" thickBot="1" x14ac:dyDescent="0.25">
      <c r="A82" s="30"/>
      <c r="B82" s="31" t="s">
        <v>17</v>
      </c>
      <c r="C82" s="61">
        <v>9792.3235843486345</v>
      </c>
      <c r="D82" s="62">
        <v>12644.357828748589</v>
      </c>
      <c r="F82" s="32">
        <f>IF(C82,D82/C82-1,"")</f>
        <v>0.29125204246298053</v>
      </c>
      <c r="H82" s="61">
        <v>1198.3991325813822</v>
      </c>
      <c r="I82" s="62">
        <v>1521.9502958077385</v>
      </c>
      <c r="K82" s="32">
        <f>IF(H82,I82/H82-1,"")</f>
        <v>0.26998614604252835</v>
      </c>
      <c r="M82" s="61">
        <f>SUM(M65,M75:M80)</f>
        <v>10990.722716930015</v>
      </c>
      <c r="N82" s="62">
        <f>SUM(N65,N75:N80)</f>
        <v>14166.30812455633</v>
      </c>
      <c r="P82" s="32">
        <f>IF(M82,N82/M82-1,"")</f>
        <v>0.28893326575646117</v>
      </c>
    </row>
    <row r="83" spans="1:16" ht="6" customHeight="1" x14ac:dyDescent="0.2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">
      <c r="F89" s="22"/>
      <c r="K89" s="22"/>
      <c r="P89" s="22"/>
    </row>
    <row r="90" spans="1:16" x14ac:dyDescent="0.2">
      <c r="F90" s="22"/>
      <c r="K90" s="22"/>
      <c r="P90" s="22"/>
    </row>
    <row r="91" spans="1:16" ht="45" customHeight="1" x14ac:dyDescent="0.2">
      <c r="A91" s="23"/>
      <c r="F91" s="22"/>
      <c r="K91" s="22"/>
      <c r="P91" s="22"/>
    </row>
    <row r="92" spans="1:16" x14ac:dyDescent="0.2">
      <c r="A92" s="24"/>
      <c r="F92" s="22"/>
      <c r="K92" s="22"/>
      <c r="P92" s="22"/>
    </row>
    <row r="93" spans="1:16" s="54" customFormat="1" x14ac:dyDescent="0.2">
      <c r="A93" s="41"/>
    </row>
    <row r="94" spans="1:16" s="20" customFormat="1" ht="11.25" x14ac:dyDescent="0.2">
      <c r="A94" s="26"/>
    </row>
    <row r="95" spans="1:16" s="20" customFormat="1" ht="11.25" x14ac:dyDescent="0.2">
      <c r="A95" s="26"/>
    </row>
    <row r="96" spans="1:16" x14ac:dyDescent="0.2">
      <c r="A96" s="58"/>
      <c r="F96" s="22"/>
      <c r="K96" s="22"/>
      <c r="P96" s="22"/>
    </row>
    <row r="97" spans="1:16" s="20" customFormat="1" ht="11.25" x14ac:dyDescent="0.2">
      <c r="A97" s="26"/>
    </row>
    <row r="98" spans="1:16" s="20" customFormat="1" ht="11.25" x14ac:dyDescent="0.2">
      <c r="A98" s="26"/>
    </row>
    <row r="99" spans="1:16" s="20" customFormat="1" ht="11.25" x14ac:dyDescent="0.2">
      <c r="A99" s="26"/>
    </row>
    <row r="100" spans="1:16" s="20" customFormat="1" ht="11.25" x14ac:dyDescent="0.2">
      <c r="A100" s="26"/>
    </row>
    <row r="101" spans="1:16" s="20" customFormat="1" ht="11.25" x14ac:dyDescent="0.2">
      <c r="A101" s="26"/>
    </row>
    <row r="102" spans="1:16" s="54" customFormat="1" x14ac:dyDescent="0.2">
      <c r="A102" s="60"/>
    </row>
    <row r="103" spans="1:16" s="20" customFormat="1" ht="11.25" x14ac:dyDescent="0.2">
      <c r="A103" s="26"/>
    </row>
    <row r="104" spans="1:16" s="20" customFormat="1" ht="11.25" x14ac:dyDescent="0.2">
      <c r="A104" s="26"/>
    </row>
    <row r="105" spans="1:16" s="20" customFormat="1" ht="11.25" x14ac:dyDescent="0.2">
      <c r="A105" s="26"/>
    </row>
    <row r="106" spans="1:16" s="54" customFormat="1" x14ac:dyDescent="0.2">
      <c r="A106" s="60"/>
    </row>
    <row r="107" spans="1:16" s="54" customFormat="1" x14ac:dyDescent="0.2">
      <c r="A107" s="60"/>
    </row>
    <row r="108" spans="1:16" s="54" customFormat="1" x14ac:dyDescent="0.2">
      <c r="A108" s="60"/>
    </row>
    <row r="109" spans="1:16" ht="11.25" customHeight="1" x14ac:dyDescent="0.2">
      <c r="A109" s="22"/>
      <c r="F109" s="22"/>
      <c r="K109" s="22"/>
      <c r="P109" s="22"/>
    </row>
    <row r="110" spans="1:16" ht="15.75" x14ac:dyDescent="0.2">
      <c r="A110" s="30"/>
      <c r="F110" s="22"/>
      <c r="K110" s="22"/>
      <c r="P110" s="22"/>
    </row>
    <row r="111" spans="1:16" ht="6" customHeight="1" x14ac:dyDescent="0.2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">
      <c r="A120" s="53"/>
      <c r="F120" s="53"/>
      <c r="K120" s="53"/>
      <c r="P120" s="53"/>
    </row>
    <row r="121" spans="1:16" s="39" customFormat="1" ht="44.1" customHeight="1" x14ac:dyDescent="0.2">
      <c r="A121" s="53"/>
      <c r="F121" s="53"/>
      <c r="K121" s="53"/>
      <c r="P121" s="53"/>
    </row>
    <row r="122" spans="1:16" s="39" customFormat="1" x14ac:dyDescent="0.2">
      <c r="A122" s="53"/>
      <c r="F122" s="53"/>
      <c r="K122" s="53"/>
      <c r="P122" s="53"/>
    </row>
    <row r="129" spans="2:15" s="20" customFormat="1" x14ac:dyDescent="0.2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35:P35"/>
    <mergeCell ref="M63:P63"/>
    <mergeCell ref="M7:P7"/>
    <mergeCell ref="H7:K7"/>
    <mergeCell ref="H35:K35"/>
    <mergeCell ref="H63:K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04396541-0BAD-45BD-BF7C-ED40946FB8B7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summary_10 2025</vt:lpstr>
      <vt:lpstr>szacunek rynku_10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2025-11-20T09:21:56Z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