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1-2025\"/>
    </mc:Choice>
  </mc:AlternateContent>
  <xr:revisionPtr revIDLastSave="0" documentId="8_{E1D1253B-4FDD-4BE7-8B7D-EA789B0AD2E3}" xr6:coauthVersionLast="47" xr6:coauthVersionMax="47" xr10:uidLastSave="{00000000-0000-0000-0000-000000000000}"/>
  <bookViews>
    <workbookView xWindow="28680" yWindow="-120" windowWidth="29040" windowHeight="15720" xr2:uid="{71ECBEB2-2687-4063-A597-2A60A7860EDA}"/>
  </bookViews>
  <sheets>
    <sheet name="summary_11 2025" sheetId="4" r:id="rId1"/>
    <sheet name="szacunek rynku_11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7" i="3"/>
  <c r="M63" i="3"/>
  <c r="K16" i="4" l="1"/>
  <c r="K15" i="4"/>
  <c r="K14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1" i="4" l="1"/>
  <c r="N117" i="4"/>
  <c r="N116" i="4"/>
  <c r="N115" i="4"/>
  <c r="N114" i="4"/>
  <c r="N113" i="4"/>
  <c r="J113" i="4"/>
  <c r="J16" i="4"/>
  <c r="J15" i="4"/>
  <c r="J14" i="4"/>
  <c r="N81" i="4"/>
  <c r="N80" i="4"/>
  <c r="N79" i="4"/>
  <c r="J79" i="4"/>
  <c r="N49" i="4"/>
  <c r="N48" i="4"/>
  <c r="N47" i="4"/>
  <c r="N46" i="4"/>
  <c r="J46" i="4"/>
  <c r="J47" i="4" s="1"/>
  <c r="N11" i="4"/>
  <c r="N12" i="4" s="1"/>
  <c r="K48" i="3" l="1"/>
  <c r="K49" i="3"/>
  <c r="K50" i="3"/>
  <c r="K75" i="3"/>
  <c r="K76" i="3"/>
  <c r="K77" i="3"/>
  <c r="K78" i="3"/>
  <c r="K20" i="3"/>
  <c r="K21" i="3"/>
  <c r="K22" i="3"/>
  <c r="J114" i="4"/>
  <c r="J80" i="4"/>
  <c r="J12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<sst xmlns="http://schemas.openxmlformats.org/spreadsheetml/2006/main" count="108" uniqueCount="53">
  <si>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</si>
  <si>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</si>
  <si>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</si>
  <si>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</si>
  <si>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</si>
  <si>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</si>
  <si>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</si>
  <si>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</si>
  <si>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</si>
  <si>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</si>
  <si>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</si>
  <si>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</si>
  <si>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</si>
  <si>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</si>
  <si>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</si>
  <si>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</si>
  <si>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</si>
  <si>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</si>
  <si>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</si>
  <si>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</si>
  <si>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</si>
  <si>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</si>
  <si>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</si>
  <si>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</si>
  <si>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</si>
  <si>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</si>
  <si>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</si>
  <si>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</si>
  <si>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</si>
  <si>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</si>
  <si>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</si>
  <si>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</si>
  <si>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</si>
  <si>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</si>
  <si>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</si>
  <si>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</si>
  <si>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I-X 2025 vs I-X 2024</t>
  </si>
  <si>
    <t>I-X 2024</t>
  </si>
  <si>
    <t>I-X 2025</t>
  </si>
  <si>
    <t>I-X 25/
I-X 24</t>
  </si>
  <si>
    <t>XI 2025 vs XI 2024</t>
  </si>
  <si>
    <t>I-XI 2025 vs I-XI 2024</t>
  </si>
  <si>
    <t>XI 2024</t>
  </si>
  <si>
    <t>XI 2025</t>
  </si>
  <si>
    <t>XI 2025/
XI 2024</t>
  </si>
  <si>
    <t>I-XI 2024</t>
  </si>
  <si>
    <t>I-XI 2025</t>
  </si>
  <si>
    <t>I-XI 25/
I-XI 24</t>
  </si>
  <si>
    <t>11 2025</t>
  </si>
  <si>
    <t>FINANSOWANIE POJAZDÓW LEKKICH - listopad 2025r. 
Łączne finansowanie leasingiem i pożyczką</t>
  </si>
  <si>
    <t>FINANSOWANIE POJAZDÓW CIĘŻKICH - listopad 2025r. 
Łączne finansowanie leasingiem i pożyczką</t>
  </si>
  <si>
    <t>FINANSOWANIE MASZYN - listopad 2025r. 
Łączne finansowanie leasingiem i pożyczką</t>
  </si>
  <si>
    <t>Związek Polskiego Leasingu, Warszawa 15-12-2025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</si>
</sst>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11/2025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'summary_11 2025'!$J$11:$J$12</c:f>
              <c:numCache>
                <c:formatCode>0.0%</c:formatCode>
                <c:ptCount val="2"/>
                <c:pt idx="0">
                  <c:v>0.94537175065496148</c:v>
                </c:pt>
                <c:pt idx="1">
                  <c:v>5.4628249345038515E-2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'summary_11 2025'!$N$11:$N$12</c:f>
              <c:numCache>
                <c:formatCode>0.0%</c:formatCode>
                <c:ptCount val="2"/>
                <c:pt idx="0">
                  <c:v>0.89008425054933793</c:v>
                </c:pt>
                <c:pt idx="1">
                  <c:v>0.10991574945066207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2025'!$I$46:$I$47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'summary_11 2025'!$J$46:$J$47</c:f>
              <c:numCache>
                <c:formatCode>0.0%</c:formatCode>
                <c:ptCount val="2"/>
                <c:pt idx="0">
                  <c:v>0.89586977568647641</c:v>
                </c:pt>
                <c:pt idx="1">
                  <c:v>0.10413022431352359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2025'!$M$46:$M$49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'summary_11 2025'!$N$46:$N$49</c:f>
              <c:numCache>
                <c:formatCode>0.0%</c:formatCode>
                <c:ptCount val="4"/>
                <c:pt idx="0">
                  <c:v>0.23078547872327015</c:v>
                </c:pt>
                <c:pt idx="1">
                  <c:v>0.51773969796744523</c:v>
                </c:pt>
                <c:pt idx="2">
                  <c:v>0.18603289882458351</c:v>
                </c:pt>
                <c:pt idx="3">
                  <c:v>6.5441924484701222E-2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'summary_11 2025'!$J$79:$J$80</c:f>
              <c:numCache>
                <c:formatCode>0%</c:formatCode>
                <c:ptCount val="2"/>
                <c:pt idx="0">
                  <c:v>0.6843570165557139</c:v>
                </c:pt>
                <c:pt idx="1">
                  <c:v>0.3156429834442861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'summary_11 2025'!$N$79:$N$82</c:f>
              <c:numCache>
                <c:formatCode>0%</c:formatCode>
                <c:ptCount val="4"/>
                <c:pt idx="0">
                  <c:v>0.20797397379566898</c:v>
                </c:pt>
                <c:pt idx="1">
                  <c:v>0.18660884116050036</c:v>
                </c:pt>
                <c:pt idx="2">
                  <c:v>0.60541718504383069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11/2025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2025'!$I$113:$I$114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'summary_11 2025'!$J$113:$J$114</c:f>
              <c:numCache>
                <c:formatCode>0.0%</c:formatCode>
                <c:ptCount val="2"/>
                <c:pt idx="0">
                  <c:v>0.8839778684069558</c:v>
                </c:pt>
                <c:pt idx="1">
                  <c:v>0.1160221315930442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11/2025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'summary_11 2025'!$M$113:$M$117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'summary_11 2025'!$N$113:$N$117</c:f>
              <c:numCache>
                <c:formatCode>0.0%</c:formatCode>
                <c:ptCount val="5"/>
                <c:pt idx="0">
                  <c:v>0.623543512967485</c:v>
                </c:pt>
                <c:pt idx="1">
                  <c:v>0.16357738052826032</c:v>
                </c:pt>
                <c:pt idx="2">
                  <c:v>0.18862031736623919</c:v>
                </c:pt>
                <c:pt idx="3">
                  <c:v>1.0265692878245962E-2</c:v>
                </c:pt>
                <c:pt idx="4">
                  <c:v>1.3993096259769551E-2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2025'!$B$38,'szacunek rynku_11 2025'!$B$47:$B$53)</c15:sqref>
                  </c15:fullRef>
                </c:ext>
              </c:extLst>
              <c:f>('szacunek rynku_11 2025'!$B$38,'szacunek rynku_11 2025'!$B$47,'szacunek rynku_11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2025'!$H$38,'szacunek rynku_11 2025'!$H$47:$H$53)</c15:sqref>
                  </c15:fullRef>
                </c:ext>
              </c:extLst>
              <c:f>('szacunek rynku_11 2025'!$H$38,'szacunek rynku_11 2025'!$H$47,'szacunek rynku_11 2025'!$H$51:$H$53)</c:f>
              <c:numCache>
                <c:formatCode>#,##0</c:formatCode>
                <c:ptCount val="5"/>
                <c:pt idx="0">
                  <c:v>6757.3402278506092</c:v>
                </c:pt>
                <c:pt idx="1">
                  <c:v>1375.992295077509</c:v>
                </c:pt>
                <c:pt idx="2">
                  <c:v>61.40191147455814</c:v>
                </c:pt>
                <c:pt idx="3">
                  <c:v>119.59488980616722</c:v>
                </c:pt>
                <c:pt idx="4">
                  <c:v>45.219101718286069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2025'!$B$65,'szacunek rynku_11 2025'!$B$74:$B$80)</c15:sqref>
                  </c15:fullRef>
                </c:ext>
              </c:extLst>
              <c:f>('szacunek rynku_11 2025'!$B$65,'szacunek rynku_11 2025'!$B$74,'szacunek rynku_11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2025'!$H$65,'szacunek rynku_11 2025'!$H$74:$H$80)</c15:sqref>
                  </c15:fullRef>
                </c:ext>
              </c:extLst>
              <c:f>('szacunek rynku_11 2025'!$H$65,'szacunek rynku_11 2025'!$H$74,'szacunek rynku_11 2025'!$H$78:$H$80)</c:f>
              <c:numCache>
                <c:formatCode>#,##0</c:formatCode>
                <c:ptCount val="5"/>
                <c:pt idx="0">
                  <c:v>424.95672586244825</c:v>
                </c:pt>
                <c:pt idx="1">
                  <c:v>614.71736276157412</c:v>
                </c:pt>
                <c:pt idx="2">
                  <c:v>10.601000335633</c:v>
                </c:pt>
                <c:pt idx="3">
                  <c:v>21.344337106185016</c:v>
                </c:pt>
                <c:pt idx="4">
                  <c:v>25.473031062713748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2025'!$B$10,'szacunek rynku_11 2025'!$B$19:$B$25)</c15:sqref>
                  </c15:fullRef>
                </c:ext>
              </c:extLst>
              <c:f>('szacunek rynku_11 2025'!$B$10,'szacunek rynku_11 2025'!$B$19,'szacunek rynku_11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2025'!$H$10,'szacunek rynku_11 2025'!$H$19:$H$25)</c15:sqref>
                  </c15:fullRef>
                </c:ext>
              </c:extLst>
              <c:f>('szacunek rynku_11 2025'!$H$10,'szacunek rynku_11 2025'!$H$19,'szacunek rynku_11 2025'!$H$23:$H$25)</c:f>
              <c:numCache>
                <c:formatCode>#,##0</c:formatCode>
                <c:ptCount val="5"/>
                <c:pt idx="0">
                  <c:v>7182.2969537130575</c:v>
                </c:pt>
                <c:pt idx="1">
                  <c:v>1990.7096578390831</c:v>
                </c:pt>
                <c:pt idx="2">
                  <c:v>72.002911810191137</c:v>
                </c:pt>
                <c:pt idx="3">
                  <c:v>140.93922691235224</c:v>
                </c:pt>
                <c:pt idx="4">
                  <c:v>70.692132780999813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2025'!$B$38,'szacunek rynku_11 2025'!$B$47:$B$53)</c15:sqref>
                  </c15:fullRef>
                </c:ext>
              </c:extLst>
              <c:f>('szacunek rynku_11 2025'!$B$38,'szacunek rynku_11 2025'!$B$47,'szacunek rynku_11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2025'!$I$38,'szacunek rynku_11 2025'!$I$47:$I$53)</c15:sqref>
                  </c15:fullRef>
                </c:ext>
              </c:extLst>
              <c:f>('szacunek rynku_11 2025'!$I$38,'szacunek rynku_11 2025'!$I$47,'szacunek rynku_11 2025'!$I$51:$I$53)</c:f>
              <c:numCache>
                <c:formatCode>#,##0</c:formatCode>
                <c:ptCount val="5"/>
                <c:pt idx="0">
                  <c:v>7279.1123074977895</c:v>
                </c:pt>
                <c:pt idx="1">
                  <c:v>1268.5080365565668</c:v>
                </c:pt>
                <c:pt idx="2">
                  <c:v>84.64811828574507</c:v>
                </c:pt>
                <c:pt idx="3">
                  <c:v>28.018056852761529</c:v>
                </c:pt>
                <c:pt idx="4">
                  <c:v>26.585423579892506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2025'!$B$65,'szacunek rynku_11 2025'!$B$74:$B$80)</c15:sqref>
                  </c15:fullRef>
                </c:ext>
              </c:extLst>
              <c:f>('szacunek rynku_11 2025'!$B$65,'szacunek rynku_11 2025'!$B$74,'szacunek rynku_11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2025'!$I$65,'szacunek rynku_11 2025'!$I$74:$I$80)</c15:sqref>
                  </c15:fullRef>
                </c:ext>
              </c:extLst>
              <c:f>('szacunek rynku_11 2025'!$I$65,'szacunek rynku_11 2025'!$I$74,'szacunek rynku_11 2025'!$I$78:$I$80)</c:f>
              <c:numCache>
                <c:formatCode>#,##0</c:formatCode>
                <c:ptCount val="5"/>
                <c:pt idx="0">
                  <c:v>513.18585232521946</c:v>
                </c:pt>
                <c:pt idx="1">
                  <c:v>585.06839485172691</c:v>
                </c:pt>
                <c:pt idx="2">
                  <c:v>16.2330944960468</c:v>
                </c:pt>
                <c:pt idx="3">
                  <c:v>16.255636652053902</c:v>
                </c:pt>
                <c:pt idx="4">
                  <c:v>9.4093215199886266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rynku_11 2025'!$B$10,'szacunek rynku_11 2025'!$B$19:$B$25)</c15:sqref>
                  </c15:fullRef>
                </c:ext>
              </c:extLst>
              <c:f>('szacunek rynku_11 2025'!$B$10,'szacunek rynku_11 2025'!$B$19,'szacunek rynku_11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rynku_11 2025'!$I$10,'szacunek rynku_11 2025'!$I$19:$I$25)</c15:sqref>
                  </c15:fullRef>
                </c:ext>
              </c:extLst>
              <c:f>('szacunek rynku_11 2025'!$I$10,'szacunek rynku_11 2025'!$I$19,'szacunek rynku_11 2025'!$I$23:$I$25)</c:f>
              <c:numCache>
                <c:formatCode>#,##0</c:formatCode>
                <c:ptCount val="5"/>
                <c:pt idx="0">
                  <c:v>7792.2981598230081</c:v>
                </c:pt>
                <c:pt idx="1">
                  <c:v>1853.5764314082937</c:v>
                </c:pt>
                <c:pt idx="2">
                  <c:v>100.88121278179187</c:v>
                </c:pt>
                <c:pt idx="3">
                  <c:v>44.273693504815427</c:v>
                </c:pt>
                <c:pt idx="4">
                  <c:v>35.994745099881129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13,5%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13,4%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41,4%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6,1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11/2025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6</xdr:row>
      <xdr:rowOff>127009</xdr:rowOff>
    </xdr:from>
    <xdr:to>
      <xdr:col>11</xdr:col>
      <xdr:colOff>5647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6</xdr:row>
      <xdr:rowOff>127009</xdr:rowOff>
    </xdr:from>
    <xdr:to>
      <xdr:col>14</xdr:col>
      <xdr:colOff>594071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47</xdr:row>
      <xdr:rowOff>146047</xdr:rowOff>
    </xdr:from>
    <xdr:to>
      <xdr:col>4</xdr:col>
      <xdr:colOff>904654</xdr:colOff>
      <xdr:row>49</xdr:row>
      <xdr:rowOff>104922</xdr:rowOff>
    </xdr:to>
    <xdr:sp macro="" textlink="'szacunek rynku_11 2025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-9,0%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51</xdr:row>
      <xdr:rowOff>87536</xdr:rowOff>
    </xdr:from>
    <xdr:to>
      <xdr:col>4</xdr:col>
      <xdr:colOff>904654</xdr:colOff>
      <xdr:row>53</xdr:row>
      <xdr:rowOff>46411</xdr:rowOff>
    </xdr:to>
    <xdr:sp macro="" textlink="'szacunek rynku_11 2025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35,3%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55</xdr:row>
      <xdr:rowOff>146601</xdr:rowOff>
    </xdr:from>
    <xdr:to>
      <xdr:col>4</xdr:col>
      <xdr:colOff>904654</xdr:colOff>
      <xdr:row>57</xdr:row>
      <xdr:rowOff>105476</xdr:rowOff>
    </xdr:to>
    <xdr:sp macro="" textlink="'szacunek rynku_11 2025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55</xdr:row>
      <xdr:rowOff>146601</xdr:rowOff>
    </xdr:from>
    <xdr:to>
      <xdr:col>6</xdr:col>
      <xdr:colOff>589718</xdr:colOff>
      <xdr:row>57</xdr:row>
      <xdr:rowOff>105476</xdr:rowOff>
    </xdr:to>
    <xdr:sp macro="" textlink="'szacunek rynku_11 2025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51</xdr:row>
      <xdr:rowOff>87536</xdr:rowOff>
    </xdr:from>
    <xdr:to>
      <xdr:col>6</xdr:col>
      <xdr:colOff>589718</xdr:colOff>
      <xdr:row>53</xdr:row>
      <xdr:rowOff>46411</xdr:rowOff>
    </xdr:to>
    <xdr:sp macro="" textlink="'szacunek rynku_11 2025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47</xdr:row>
      <xdr:rowOff>146047</xdr:rowOff>
    </xdr:from>
    <xdr:to>
      <xdr:col>6</xdr:col>
      <xdr:colOff>589718</xdr:colOff>
      <xdr:row>49</xdr:row>
      <xdr:rowOff>104922</xdr:rowOff>
    </xdr:to>
    <xdr:sp macro="" textlink="'szacunek rynku_11 2025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47</xdr:row>
      <xdr:rowOff>146046</xdr:rowOff>
    </xdr:from>
    <xdr:to>
      <xdr:col>3</xdr:col>
      <xdr:colOff>1176096</xdr:colOff>
      <xdr:row>49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51</xdr:row>
      <xdr:rowOff>87535</xdr:rowOff>
    </xdr:from>
    <xdr:to>
      <xdr:col>3</xdr:col>
      <xdr:colOff>1176096</xdr:colOff>
      <xdr:row>53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55</xdr:row>
      <xdr:rowOff>146600</xdr:rowOff>
    </xdr:from>
    <xdr:to>
      <xdr:col>3</xdr:col>
      <xdr:colOff>1176096</xdr:colOff>
      <xdr:row>57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45</xdr:row>
      <xdr:rowOff>1046</xdr:rowOff>
    </xdr:from>
    <xdr:to>
      <xdr:col>4</xdr:col>
      <xdr:colOff>904654</xdr:colOff>
      <xdr:row>46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45</xdr:row>
      <xdr:rowOff>1046</xdr:rowOff>
    </xdr:from>
    <xdr:to>
      <xdr:col>6</xdr:col>
      <xdr:colOff>589718</xdr:colOff>
      <xdr:row>46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54</xdr:row>
      <xdr:rowOff>96505</xdr:rowOff>
    </xdr:from>
    <xdr:to>
      <xdr:col>6</xdr:col>
      <xdr:colOff>732905</xdr:colOff>
      <xdr:row>54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43</xdr:row>
      <xdr:rowOff>107156</xdr:rowOff>
    </xdr:from>
    <xdr:to>
      <xdr:col>17</xdr:col>
      <xdr:colOff>333375</xdr:colOff>
      <xdr:row>53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41</xdr:row>
      <xdr:rowOff>127009</xdr:rowOff>
    </xdr:from>
    <xdr:to>
      <xdr:col>6</xdr:col>
      <xdr:colOff>627940</xdr:colOff>
      <xdr:row>44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41</xdr:row>
      <xdr:rowOff>147810</xdr:rowOff>
    </xdr:from>
    <xdr:to>
      <xdr:col>3</xdr:col>
      <xdr:colOff>1176024</xdr:colOff>
      <xdr:row>46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1,6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41</xdr:row>
      <xdr:rowOff>127009</xdr:rowOff>
    </xdr:from>
    <xdr:to>
      <xdr:col>10</xdr:col>
      <xdr:colOff>697089</xdr:colOff>
      <xdr:row>57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41</xdr:row>
      <xdr:rowOff>127009</xdr:rowOff>
    </xdr:from>
    <xdr:to>
      <xdr:col>14</xdr:col>
      <xdr:colOff>603249</xdr:colOff>
      <xdr:row>57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11 2025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11 2025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11 2025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11 2025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11 2025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21,5%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11 2025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-7,0%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1,9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74</xdr:row>
      <xdr:rowOff>127009</xdr:rowOff>
    </xdr:from>
    <xdr:to>
      <xdr:col>10</xdr:col>
      <xdr:colOff>684389</xdr:colOff>
      <xdr:row>90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74</xdr:row>
      <xdr:rowOff>127009</xdr:rowOff>
    </xdr:from>
    <xdr:to>
      <xdr:col>14</xdr:col>
      <xdr:colOff>571499</xdr:colOff>
      <xdr:row>90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39</xdr:row>
      <xdr:rowOff>16935</xdr:rowOff>
    </xdr:from>
    <xdr:to>
      <xdr:col>3</xdr:col>
      <xdr:colOff>475457</xdr:colOff>
      <xdr:row>39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317500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114</xdr:row>
      <xdr:rowOff>146047</xdr:rowOff>
    </xdr:from>
    <xdr:to>
      <xdr:col>4</xdr:col>
      <xdr:colOff>904654</xdr:colOff>
      <xdr:row>116</xdr:row>
      <xdr:rowOff>104922</xdr:rowOff>
    </xdr:to>
    <xdr:sp macro="" textlink="'szacunek rynku_11 2025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118</xdr:row>
      <xdr:rowOff>87536</xdr:rowOff>
    </xdr:from>
    <xdr:to>
      <xdr:col>4</xdr:col>
      <xdr:colOff>904654</xdr:colOff>
      <xdr:row>120</xdr:row>
      <xdr:rowOff>46411</xdr:rowOff>
    </xdr:to>
    <xdr:sp macro="" textlink="'szacunek rynku_11 2025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122</xdr:row>
      <xdr:rowOff>146601</xdr:rowOff>
    </xdr:from>
    <xdr:to>
      <xdr:col>4</xdr:col>
      <xdr:colOff>904654</xdr:colOff>
      <xdr:row>124</xdr:row>
      <xdr:rowOff>105476</xdr:rowOff>
    </xdr:to>
    <xdr:sp macro="" textlink="'szacunek rynku_11 2025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122</xdr:row>
      <xdr:rowOff>146601</xdr:rowOff>
    </xdr:from>
    <xdr:to>
      <xdr:col>6</xdr:col>
      <xdr:colOff>589718</xdr:colOff>
      <xdr:row>124</xdr:row>
      <xdr:rowOff>105476</xdr:rowOff>
    </xdr:to>
    <xdr:sp macro="" textlink="'szacunek rynku_11 2025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118</xdr:row>
      <xdr:rowOff>87536</xdr:rowOff>
    </xdr:from>
    <xdr:to>
      <xdr:col>6</xdr:col>
      <xdr:colOff>589718</xdr:colOff>
      <xdr:row>120</xdr:row>
      <xdr:rowOff>46411</xdr:rowOff>
    </xdr:to>
    <xdr:sp macro="" textlink="'szacunek rynku_11 2025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26,6%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114</xdr:row>
      <xdr:rowOff>146047</xdr:rowOff>
    </xdr:from>
    <xdr:to>
      <xdr:col>6</xdr:col>
      <xdr:colOff>589718</xdr:colOff>
      <xdr:row>116</xdr:row>
      <xdr:rowOff>104922</xdr:rowOff>
    </xdr:to>
    <xdr:sp macro="" textlink="'szacunek rynku_11 2025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114</xdr:row>
      <xdr:rowOff>146046</xdr:rowOff>
    </xdr:from>
    <xdr:to>
      <xdr:col>3</xdr:col>
      <xdr:colOff>1176096</xdr:colOff>
      <xdr:row>116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118</xdr:row>
      <xdr:rowOff>87535</xdr:rowOff>
    </xdr:from>
    <xdr:to>
      <xdr:col>3</xdr:col>
      <xdr:colOff>1176096</xdr:colOff>
      <xdr:row>120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122</xdr:row>
      <xdr:rowOff>10526</xdr:rowOff>
    </xdr:from>
    <xdr:to>
      <xdr:col>3</xdr:col>
      <xdr:colOff>1176096</xdr:colOff>
      <xdr:row>125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112</xdr:row>
      <xdr:rowOff>1046</xdr:rowOff>
    </xdr:from>
    <xdr:to>
      <xdr:col>4</xdr:col>
      <xdr:colOff>904654</xdr:colOff>
      <xdr:row>113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112</xdr:row>
      <xdr:rowOff>1046</xdr:rowOff>
    </xdr:from>
    <xdr:to>
      <xdr:col>6</xdr:col>
      <xdr:colOff>589718</xdr:colOff>
      <xdr:row>113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121</xdr:row>
      <xdr:rowOff>96505</xdr:rowOff>
    </xdr:from>
    <xdr:to>
      <xdr:col>6</xdr:col>
      <xdr:colOff>732905</xdr:colOff>
      <xdr:row>121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108</xdr:row>
      <xdr:rowOff>127009</xdr:rowOff>
    </xdr:from>
    <xdr:to>
      <xdr:col>6</xdr:col>
      <xdr:colOff>627940</xdr:colOff>
      <xdr:row>111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108</xdr:row>
      <xdr:rowOff>147810</xdr:rowOff>
    </xdr:from>
    <xdr:to>
      <xdr:col>3</xdr:col>
      <xdr:colOff>1176024</xdr:colOff>
      <xdr:row>113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9,8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11/2025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108</xdr:row>
      <xdr:rowOff>127009</xdr:rowOff>
    </xdr:from>
    <xdr:to>
      <xdr:col>10</xdr:col>
      <xdr:colOff>684389</xdr:colOff>
      <xdr:row>124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108</xdr:row>
      <xdr:rowOff>127009</xdr:rowOff>
    </xdr:from>
    <xdr:to>
      <xdr:col>14</xdr:col>
      <xdr:colOff>571499</xdr:colOff>
      <xdr:row>124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11 2025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14,7%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11 2025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11 2025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11 2025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47</xdr:row>
      <xdr:rowOff>177797</xdr:rowOff>
    </xdr:from>
    <xdr:to>
      <xdr:col>20</xdr:col>
      <xdr:colOff>1404697</xdr:colOff>
      <xdr:row>49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50</xdr:row>
      <xdr:rowOff>145594</xdr:rowOff>
    </xdr:from>
    <xdr:to>
      <xdr:col>20</xdr:col>
      <xdr:colOff>1404697</xdr:colOff>
      <xdr:row>52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47</xdr:row>
      <xdr:rowOff>177797</xdr:rowOff>
    </xdr:from>
    <xdr:to>
      <xdr:col>22</xdr:col>
      <xdr:colOff>38689</xdr:colOff>
      <xdr:row>49</xdr:row>
      <xdr:rowOff>136672</xdr:rowOff>
    </xdr:to>
    <xdr:sp macro="" textlink="'szacunek rynku_11 2025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-17,4%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50</xdr:row>
      <xdr:rowOff>145594</xdr:rowOff>
    </xdr:from>
    <xdr:to>
      <xdr:col>22</xdr:col>
      <xdr:colOff>38689</xdr:colOff>
      <xdr:row>52</xdr:row>
      <xdr:rowOff>104468</xdr:rowOff>
    </xdr:to>
    <xdr:sp macro="" textlink="'szacunek rynku_11 2025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50</xdr:row>
      <xdr:rowOff>145594</xdr:rowOff>
    </xdr:from>
    <xdr:to>
      <xdr:col>24</xdr:col>
      <xdr:colOff>195579</xdr:colOff>
      <xdr:row>52</xdr:row>
      <xdr:rowOff>104468</xdr:rowOff>
    </xdr:to>
    <xdr:sp macro="" textlink="'szacunek rynku_11 2025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45</xdr:row>
      <xdr:rowOff>89946</xdr:rowOff>
    </xdr:from>
    <xdr:to>
      <xdr:col>22</xdr:col>
      <xdr:colOff>38689</xdr:colOff>
      <xdr:row>47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45</xdr:row>
      <xdr:rowOff>89946</xdr:rowOff>
    </xdr:from>
    <xdr:to>
      <xdr:col>24</xdr:col>
      <xdr:colOff>195579</xdr:colOff>
      <xdr:row>47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47</xdr:row>
      <xdr:rowOff>177796</xdr:rowOff>
    </xdr:from>
    <xdr:to>
      <xdr:col>24</xdr:col>
      <xdr:colOff>195579</xdr:colOff>
      <xdr:row>49</xdr:row>
      <xdr:rowOff>136672</xdr:rowOff>
    </xdr:to>
    <xdr:sp macro="" textlink="'szacunek rynku_11 2025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41</xdr:row>
      <xdr:rowOff>127009</xdr:rowOff>
    </xdr:from>
    <xdr:to>
      <xdr:col>24</xdr:col>
      <xdr:colOff>195579</xdr:colOff>
      <xdr:row>44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53</xdr:row>
      <xdr:rowOff>113390</xdr:rowOff>
    </xdr:from>
    <xdr:to>
      <xdr:col>20</xdr:col>
      <xdr:colOff>1404697</xdr:colOff>
      <xdr:row>55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53</xdr:row>
      <xdr:rowOff>113390</xdr:rowOff>
    </xdr:from>
    <xdr:to>
      <xdr:col>22</xdr:col>
      <xdr:colOff>13289</xdr:colOff>
      <xdr:row>55</xdr:row>
      <xdr:rowOff>72264</xdr:rowOff>
    </xdr:to>
    <xdr:sp macro="" textlink="'szacunek rynku_11 2025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53</xdr:row>
      <xdr:rowOff>113390</xdr:rowOff>
    </xdr:from>
    <xdr:to>
      <xdr:col>24</xdr:col>
      <xdr:colOff>170179</xdr:colOff>
      <xdr:row>55</xdr:row>
      <xdr:rowOff>72264</xdr:rowOff>
    </xdr:to>
    <xdr:sp macro="" textlink="'szacunek rynku_11 2025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56</xdr:row>
      <xdr:rowOff>81187</xdr:rowOff>
    </xdr:from>
    <xdr:to>
      <xdr:col>20</xdr:col>
      <xdr:colOff>1404697</xdr:colOff>
      <xdr:row>58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56</xdr:row>
      <xdr:rowOff>81187</xdr:rowOff>
    </xdr:from>
    <xdr:to>
      <xdr:col>22</xdr:col>
      <xdr:colOff>25989</xdr:colOff>
      <xdr:row>58</xdr:row>
      <xdr:rowOff>40061</xdr:rowOff>
    </xdr:to>
    <xdr:sp macro="" textlink="'szacunek rynku_11 2025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-48,8%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56</xdr:row>
      <xdr:rowOff>81187</xdr:rowOff>
    </xdr:from>
    <xdr:to>
      <xdr:col>24</xdr:col>
      <xdr:colOff>182879</xdr:colOff>
      <xdr:row>58</xdr:row>
      <xdr:rowOff>40061</xdr:rowOff>
    </xdr:to>
    <xdr:sp macro="" textlink="'szacunek rynku_11 2025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11 2025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-11,9%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11 2025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-9,6%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11 2025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27,1%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01-11/2025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11 2025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11 2025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11 2025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23</xdr:row>
      <xdr:rowOff>63501</xdr:rowOff>
    </xdr:from>
    <xdr:to>
      <xdr:col>14</xdr:col>
      <xdr:colOff>485333</xdr:colOff>
      <xdr:row>34</xdr:row>
      <xdr:rowOff>98779</xdr:rowOff>
    </xdr:to>
    <xdr:sp macro="" textlink="">
      <xdr:nvSpPr>
        <xdr:cNvPr id="148" name="Prostokąt: zaokrąglone rogi 147">
          <a:extLst>
            <a:ext uri="{FF2B5EF4-FFF2-40B4-BE49-F238E27FC236}">
              <a16:creationId xmlns:a16="http://schemas.microsoft.com/office/drawing/2014/main" id="{067B2F4D-AF8E-474A-8BEE-164CC10637BC}"/>
            </a:ext>
          </a:extLst>
        </xdr:cNvPr>
        <xdr:cNvSpPr/>
      </xdr:nvSpPr>
      <xdr:spPr>
        <a:xfrm>
          <a:off x="853722" y="4720168"/>
          <a:ext cx="10821722" cy="2060222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główną siłą napędową całego rynku leasingu. Utrzymuje się relatywnie wysoka dynamika finansowania OSD, przy bardziej już zbilansowanej strukturze leasing vs pożyczka. W poprzednich miesiącach znacznie mocniej rosło finansowanie OSD w pożyczce.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nieznacznie przyspieszyła do 13,4% r/r, po 12,0% r/ w październiku, przy 18,0% r/r w całym III kw. 2025. W IV kw. 2025 wchodzimy już w trochę wyższą bazę IV kw. 2024. Podobnie jak w 2024, notujemy znacznie wyższą dynamikę w sektorze finansowania aut osobowych. Sektor lekkich aut dostawczych pozostaje w tym roku na lekkim minusie, ale już sam październik i listopad przyniosły wyraźne odbicie.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Realizuje się oczekiwany scenariusz rozwoju gospodarczego na 2025 rok, w którym dynamika PKB mocno bazuje na popycie konsumpcyjnym. Przekłada się to na wzrost finansowania OSD w tym roku. Podobnego trendu możemy oczekiwać w całym 2026 roku.</a:t>
          </a:r>
        </a:p>
      </xdr:txBody>
    </xdr:sp>
    <xdr:clientData/>
  </xdr:twoCellAnchor>
  <xdr:twoCellAnchor>
    <xdr:from>
      <xdr:col>2</xdr:col>
      <xdr:colOff>0</xdr:colOff>
      <xdr:row>58</xdr:row>
      <xdr:rowOff>179917</xdr:rowOff>
    </xdr:from>
    <xdr:to>
      <xdr:col>14</xdr:col>
      <xdr:colOff>537986</xdr:colOff>
      <xdr:row>68</xdr:row>
      <xdr:rowOff>38100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1982131-3386-41DB-989E-C0B40D22D152}"/>
            </a:ext>
          </a:extLst>
        </xdr:cNvPr>
        <xdr:cNvSpPr/>
      </xdr:nvSpPr>
      <xdr:spPr>
        <a:xfrm>
          <a:off x="847725" y="12305242"/>
          <a:ext cx="10501136" cy="1801283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pojazdów ciężarowych w listopadzie 2025 z zaskakującym spadkiem w ujęciu rocznym, po wzroście o 12,2% r/r w październiku i 30,8% r/r we wrześniu 2025. Listopadowy spadek jest dosyć zaskakujący, bo jest wbrew niskiej bazie ub. roku: -28,4% r/r dla łącznych rejestracji TRK za 11/2024 po -10,9% r/r za 10/2024. Zakładamy, że listopadowy wynik nie oznacza trwałego odwrócenia wzrostowego trendu w sektorze TRK.</a:t>
          </a:r>
        </a:p>
        <a:p>
          <a:pPr algn="l"/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utrzymywały się konsekwentnie wzrosty do października 2025. To diametralna poprawa wobec -13,7% r/r za 2024 i jeszcze -7,1% r/r za 01-02/2025.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listopadzie 2025 szósty miesiąc z rzędu na plusie. Wzrost w tym segmencie w części można wytłumaczyć niską bazą ub. roku, ale widać też pozytywny wpływ stabilizacji sytuacji gospodarczej w strefie euro. Wyhamowały dynamiki w finansowaniu naczep, mocno spadło finansowanie typowych ciężarówek o DMC powyżej 3,5 tony, bardziej związanych z popytem krajowym. </a:t>
          </a: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232834</xdr:colOff>
      <xdr:row>91</xdr:row>
      <xdr:rowOff>116419</xdr:rowOff>
    </xdr:from>
    <xdr:to>
      <xdr:col>14</xdr:col>
      <xdr:colOff>536840</xdr:colOff>
      <xdr:row>102</xdr:row>
      <xdr:rowOff>112890</xdr:rowOff>
    </xdr:to>
    <xdr:sp macro="" textlink="">
      <xdr:nvSpPr>
        <xdr:cNvPr id="151" name="Prostokąt: zaokrąglone rogi 150">
          <a:extLst>
            <a:ext uri="{FF2B5EF4-FFF2-40B4-BE49-F238E27FC236}">
              <a16:creationId xmlns:a16="http://schemas.microsoft.com/office/drawing/2014/main" id="{38D061DB-AA2E-4936-B7EE-7680BBFBF561}"/>
            </a:ext>
          </a:extLst>
        </xdr:cNvPr>
        <xdr:cNvSpPr/>
      </xdr:nvSpPr>
      <xdr:spPr>
        <a:xfrm>
          <a:off x="839612" y="18397363"/>
          <a:ext cx="10887339" cy="204963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listopadzie 2025 z dosyć wyraźnym spadkiem w ujęciu rocznym, po mocnym październiku z 18,3% r/r oraz nieznacznym wzroście o 1,5% r/r za III kw.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Słaby wynik finansowania maszyn w listopadzie za sprawą spadków we wszystkich kategoriach maszyn, relatywnie najmocniej w budowlance.</a:t>
          </a: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Spadek w finansowaniu maszyn rolniczych, wyraźnie poniżej 5,4% r/r w październiku, 33,0% r/r z III kw. 2025 i wysokich dynamik notowanych w tym segmencie od lutego 2025. To już pochodna zakończenia we wrześniu 2025 rozliczeń funduszy unijnych z poprzedniego PROW.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Wciąż obserwujemy słabsze wyniki w sektorze maszyn budowlanych, ale spadki nie były tak mocne jak w październiku. Wynik w finansowaniu pozostałych maszyn w listopadzie na poziomie średniego wyniku za 01-10 2025.</a:t>
          </a:r>
        </a:p>
      </xdr:txBody>
    </xdr:sp>
    <xdr:clientData/>
  </xdr:twoCellAnchor>
  <xdr:twoCellAnchor>
    <xdr:from>
      <xdr:col>2</xdr:col>
      <xdr:colOff>0</xdr:colOff>
      <xdr:row>126</xdr:row>
      <xdr:rowOff>0</xdr:rowOff>
    </xdr:from>
    <xdr:to>
      <xdr:col>14</xdr:col>
      <xdr:colOff>490624</xdr:colOff>
      <xdr:row>134</xdr:row>
      <xdr:rowOff>158750</xdr:rowOff>
    </xdr:to>
    <xdr:sp macro="" textlink="">
      <xdr:nvSpPr>
        <xdr:cNvPr id="152" name="Prostokąt: zaokrąglone rogi 151">
          <a:extLst>
            <a:ext uri="{FF2B5EF4-FFF2-40B4-BE49-F238E27FC236}">
              <a16:creationId xmlns:a16="http://schemas.microsoft.com/office/drawing/2014/main" id="{0D304B79-368F-4202-B998-2B5FE5D07197}"/>
            </a:ext>
          </a:extLst>
        </xdr:cNvPr>
        <xdr:cNvSpPr/>
      </xdr:nvSpPr>
      <xdr:spPr>
        <a:xfrm>
          <a:off x="857250" y="26257250"/>
          <a:ext cx="10491874" cy="16827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Rynek leasingu stopniowo coraz bardziej przyspieszał w kolejnych miesiącach 2025 roku: od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1,7%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w I kw., do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9,1%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II kw. oraz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13,2%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za III kwartał. Dynamika rynku wyhamowała w listopadzie do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3,9%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z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13,5%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r/r za październik. To pokazuje kruchość i niestabilność rynku leasingu w 2025 roku.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Wyniki rynku leasingu do listopada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sugerują, że dynamika rynku leasingu w całym 2025 sięgnie ok. 8% r/r, powyżej 5,5-proc. prognozy formułowanej przez firmy leasingowe w połowie 2025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11 2025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XI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11 2025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11 2025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11 2025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11 2025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11 2025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XI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7"/>
  <sheetViews>
    <sheetView showGridLines="0" tabSelected="1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3.25" x14ac:dyDescent="0.35">
      <c r="B2" s="76" t="s">
        <v>52</v>
      </c>
    </row>
    <row r="3" spans="2:31" ht="15.75" thickBot="1" x14ac:dyDescent="0.3"/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49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3" t="s">
        <v>48</v>
      </c>
      <c r="N10" s="63" t="s">
        <v>48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4">
        <f>('szacunek rynku_11 2025'!I39+'szacunek rynku_11 2025'!I40)/('szacunek rynku_11 2025'!I11+'szacunek rynku_11 2025'!I12)</f>
        <v>0.94537175065496148</v>
      </c>
      <c r="M11" t="s">
        <v>0</v>
      </c>
      <c r="N11" s="64">
        <f>'szacunek rynku_11 2025'!I11/SUM('szacunek rynku_11 2025'!I11:I12)</f>
        <v>0.89008425054933793</v>
      </c>
      <c r="P11" s="9"/>
      <c r="S11" s="8"/>
      <c r="V11" s="66"/>
      <c r="Z11" s="13"/>
      <c r="AC11" s="9"/>
    </row>
    <row r="12" spans="2:31" x14ac:dyDescent="0.25">
      <c r="B12" s="8"/>
      <c r="I12" t="s">
        <v>2</v>
      </c>
      <c r="J12" s="64">
        <f>1-J11</f>
        <v>5.4628249345038515E-2</v>
      </c>
      <c r="M12" t="s">
        <v>3</v>
      </c>
      <c r="N12" s="64">
        <f>1-N11</f>
        <v>0.10991574945066207</v>
      </c>
      <c r="P12" s="9"/>
      <c r="S12" s="8"/>
      <c r="V12" s="66"/>
      <c r="Z12" s="13"/>
      <c r="AA12" s="71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5">
        <f>('szacunek rynku_11 2025'!I39+'szacunek rynku_11 2025'!I40)/('szacunek rynku_11 2025'!H39+'szacunek rynku_11 2025'!H40)-1</f>
        <v>0.13515116062140375</v>
      </c>
      <c r="K14" s="64">
        <f>('szacunek rynku_11 2025'!N39+'szacunek rynku_11 2025'!N40)/('szacunek rynku_11 2025'!M39+'szacunek rynku_11 2025'!M40)-1</f>
        <v>0.10269978891897158</v>
      </c>
      <c r="P14" s="9"/>
      <c r="S14" s="8"/>
      <c r="AC14" s="9"/>
    </row>
    <row r="15" spans="2:31" x14ac:dyDescent="0.25">
      <c r="B15" s="8"/>
      <c r="I15" t="s">
        <v>2</v>
      </c>
      <c r="J15" s="65">
        <f>('szacunek rynku_11 2025'!I66+'szacunek rynku_11 2025'!I67)/('szacunek rynku_11 2025'!H66+'szacunek rynku_11 2025'!H67)-1</f>
        <v>0.11355895226836488</v>
      </c>
      <c r="K15" s="64">
        <f>('szacunek rynku_11 2025'!N66+'szacunek rynku_11 2025'!N67)/('szacunek rynku_11 2025'!M66+'szacunek rynku_11 2025'!M67)-1</f>
        <v>0.41385586438515087</v>
      </c>
      <c r="P15" s="9"/>
      <c r="S15" s="8"/>
      <c r="AC15" s="9"/>
    </row>
    <row r="16" spans="2:31" x14ac:dyDescent="0.25">
      <c r="B16" s="8"/>
      <c r="I16" t="s">
        <v>34</v>
      </c>
      <c r="J16" s="65">
        <f>('szacunek rynku_11 2025'!I12+'szacunek rynku_11 2025'!I11)/('szacunek rynku_11 2025'!H11+'szacunek rynku_11 2025'!H12)-1</f>
        <v>0.13395001671233175</v>
      </c>
      <c r="K16" s="64">
        <f>('szacunek rynku_11 2025'!N12+'szacunek rynku_11 2025'!N11)/('szacunek rynku_11 2025'!M11+'szacunek rynku_11 2025'!M12)-1</f>
        <v>0.11817692028425708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x14ac:dyDescent="0.25">
      <c r="B33" s="8"/>
      <c r="P33" s="9"/>
    </row>
    <row r="34" spans="2:31" x14ac:dyDescent="0.25">
      <c r="B34" s="8"/>
      <c r="P34" s="9"/>
    </row>
    <row r="35" spans="2:31" ht="16.5" customHeight="1" thickBot="1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31" ht="15.75" thickTop="1" x14ac:dyDescent="0.25"/>
    <row r="38" spans="2:31" ht="15.75" thickBot="1" x14ac:dyDescent="0.3"/>
    <row r="39" spans="2:31" ht="15.75" thickTop="1" x14ac:dyDescent="0.25"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S39" s="1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2:31" s="6" customFormat="1" ht="61.5" customHeight="1" x14ac:dyDescent="0.25">
      <c r="B40" s="4"/>
      <c r="C40" s="73" t="s">
        <v>29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5"/>
      <c r="S40" s="4"/>
      <c r="T40" s="73" t="s">
        <v>50</v>
      </c>
      <c r="U40" s="73"/>
      <c r="V40" s="73"/>
      <c r="W40" s="73"/>
      <c r="X40" s="73"/>
      <c r="Y40" s="73"/>
      <c r="Z40" s="73"/>
      <c r="AA40" s="73"/>
      <c r="AB40" s="73"/>
      <c r="AC40" s="5"/>
      <c r="AE40" s="7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P43" s="9"/>
      <c r="S43" s="8"/>
      <c r="AC43" s="9"/>
    </row>
    <row r="44" spans="2:31" x14ac:dyDescent="0.25">
      <c r="B44" s="8"/>
      <c r="P44" s="9"/>
      <c r="S44" s="8"/>
      <c r="AC44" s="9"/>
    </row>
    <row r="45" spans="2:31" x14ac:dyDescent="0.25">
      <c r="B45" s="8"/>
      <c r="J45" s="63" t="s">
        <v>35</v>
      </c>
      <c r="N45" s="63" t="s">
        <v>35</v>
      </c>
      <c r="P45" s="9"/>
      <c r="S45" s="8"/>
      <c r="V45" s="14"/>
      <c r="AC45" s="9"/>
    </row>
    <row r="46" spans="2:31" x14ac:dyDescent="0.25">
      <c r="B46" s="8"/>
      <c r="I46" t="s">
        <v>1</v>
      </c>
      <c r="J46" s="64">
        <f>'szacunek rynku_11 2025'!I41/'szacunek rynku_11 2025'!I13</f>
        <v>0.89586977568647641</v>
      </c>
      <c r="K46" s="64"/>
      <c r="M46" t="s">
        <v>33</v>
      </c>
      <c r="N46" s="64">
        <f>'szacunek rynku_11 2025'!I14/'szacunek rynku_11 2025'!$I$13</f>
        <v>0.23078547872327015</v>
      </c>
      <c r="O46" s="64"/>
      <c r="P46" s="9"/>
      <c r="S46" s="8"/>
      <c r="V46" s="66"/>
      <c r="Z46" s="13"/>
      <c r="AC46" s="9"/>
    </row>
    <row r="47" spans="2:31" x14ac:dyDescent="0.25">
      <c r="B47" s="8"/>
      <c r="I47" t="s">
        <v>2</v>
      </c>
      <c r="J47" s="64">
        <f>1-J46</f>
        <v>0.10413022431352359</v>
      </c>
      <c r="K47" s="64"/>
      <c r="M47" t="s">
        <v>4</v>
      </c>
      <c r="N47" s="64">
        <f>'szacunek rynku_11 2025'!I15/'szacunek rynku_11 2025'!$I$13</f>
        <v>0.51773969796744523</v>
      </c>
      <c r="O47" s="64"/>
      <c r="P47" s="9"/>
      <c r="S47" s="8"/>
      <c r="V47" s="66"/>
      <c r="Z47" s="13"/>
      <c r="AC47" s="9"/>
    </row>
    <row r="48" spans="2:31" x14ac:dyDescent="0.25">
      <c r="B48" s="8"/>
      <c r="M48" t="s">
        <v>5</v>
      </c>
      <c r="N48" s="64">
        <f>'szacunek rynku_11 2025'!I16/'szacunek rynku_11 2025'!$I$13</f>
        <v>0.18603289882458351</v>
      </c>
      <c r="O48" s="64"/>
      <c r="P48" s="9"/>
      <c r="S48" s="8"/>
      <c r="Z48" s="13"/>
      <c r="AC48" s="9"/>
    </row>
    <row r="49" spans="2:29" x14ac:dyDescent="0.25">
      <c r="B49" s="8"/>
      <c r="M49" t="s">
        <v>6</v>
      </c>
      <c r="N49" s="64">
        <f>'szacunek rynku_11 2025'!I17/'szacunek rynku_11 2025'!$I$13</f>
        <v>6.5441924484701222E-2</v>
      </c>
      <c r="O49" s="64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x14ac:dyDescent="0.25">
      <c r="B58" s="8"/>
      <c r="P58" s="9"/>
      <c r="S58" s="8"/>
      <c r="AC58" s="9"/>
    </row>
    <row r="59" spans="2:29" x14ac:dyDescent="0.25">
      <c r="B59" s="8"/>
      <c r="P59" s="9"/>
      <c r="S59" s="8"/>
      <c r="AC59" s="9"/>
    </row>
    <row r="60" spans="2:29" ht="15.75" thickBot="1" x14ac:dyDescent="0.3">
      <c r="B60" s="8"/>
      <c r="P60" s="9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2"/>
    </row>
    <row r="61" spans="2:29" ht="15.75" thickTop="1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x14ac:dyDescent="0.25">
      <c r="B66" s="8"/>
      <c r="P66" s="9"/>
    </row>
    <row r="67" spans="2:31" x14ac:dyDescent="0.25">
      <c r="B67" s="8"/>
      <c r="P67" s="9"/>
    </row>
    <row r="68" spans="2:31" ht="16.5" customHeight="1" x14ac:dyDescent="0.25">
      <c r="B68" s="8"/>
      <c r="P68" s="9"/>
    </row>
    <row r="69" spans="2:31" ht="15.75" thickBot="1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2:31" ht="15.75" thickTop="1" x14ac:dyDescent="0.25"/>
    <row r="71" spans="2:31" ht="15.75" thickBot="1" x14ac:dyDescent="0.3"/>
    <row r="72" spans="2:31" ht="15.75" thickTop="1" x14ac:dyDescent="0.2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25">
      <c r="B73" s="4"/>
      <c r="C73" s="73" t="s">
        <v>30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5"/>
      <c r="S73" s="4"/>
      <c r="T73" s="73" t="s">
        <v>51</v>
      </c>
      <c r="U73" s="73"/>
      <c r="V73" s="73"/>
      <c r="W73" s="73"/>
      <c r="X73" s="73"/>
      <c r="Y73" s="73"/>
      <c r="Z73" s="73"/>
      <c r="AA73" s="73"/>
      <c r="AB73" s="73"/>
      <c r="AC73" s="5"/>
      <c r="AE73" s="7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P76" s="9"/>
      <c r="S76" s="8"/>
      <c r="AC76" s="9"/>
    </row>
    <row r="77" spans="2:31" x14ac:dyDescent="0.25">
      <c r="B77" s="8"/>
      <c r="P77" s="9"/>
      <c r="S77" s="8"/>
      <c r="AC77" s="9"/>
    </row>
    <row r="78" spans="2:31" x14ac:dyDescent="0.25">
      <c r="B78" s="8"/>
      <c r="J78" s="63" t="s">
        <v>35</v>
      </c>
      <c r="N78" s="63" t="s">
        <v>35</v>
      </c>
      <c r="P78" s="9"/>
      <c r="S78" s="8"/>
      <c r="V78" s="14"/>
      <c r="AC78" s="9"/>
    </row>
    <row r="79" spans="2:31" x14ac:dyDescent="0.25">
      <c r="B79" s="8"/>
      <c r="I79" t="s">
        <v>1</v>
      </c>
      <c r="J79" s="13">
        <f>'szacunek rynku_11 2025'!I47/'szacunek rynku_11 2025'!I19</f>
        <v>0.6843570165557139</v>
      </c>
      <c r="M79" t="s">
        <v>24</v>
      </c>
      <c r="N79" s="13">
        <f>'szacunek rynku_11 2025'!I20/'szacunek rynku_11 2025'!$I$19</f>
        <v>0.20797397379566898</v>
      </c>
      <c r="P79" s="9"/>
      <c r="S79" s="8"/>
      <c r="V79" s="66"/>
      <c r="Z79" s="13"/>
      <c r="AC79" s="9"/>
    </row>
    <row r="80" spans="2:31" x14ac:dyDescent="0.25">
      <c r="B80" s="8"/>
      <c r="I80" t="s">
        <v>2</v>
      </c>
      <c r="J80" s="13">
        <f>1-J79</f>
        <v>0.3156429834442861</v>
      </c>
      <c r="M80" t="s">
        <v>23</v>
      </c>
      <c r="N80" s="13">
        <f>'szacunek rynku_11 2025'!I21/'szacunek rynku_11 2025'!$I$19</f>
        <v>0.18660884116050036</v>
      </c>
      <c r="P80" s="9"/>
      <c r="S80" s="8"/>
      <c r="V80" s="66"/>
      <c r="Z80" s="13"/>
      <c r="AC80" s="9"/>
    </row>
    <row r="81" spans="2:29" x14ac:dyDescent="0.25">
      <c r="B81" s="8"/>
      <c r="M81" t="s">
        <v>32</v>
      </c>
      <c r="N81" s="13">
        <f>'szacunek rynku_11 2025'!I22/'szacunek rynku_11 2025'!$I$19</f>
        <v>0.60541718504383069</v>
      </c>
      <c r="P81" s="9"/>
      <c r="S81" s="8"/>
      <c r="Z81" s="13"/>
      <c r="AC81" s="9"/>
    </row>
    <row r="82" spans="2:29" x14ac:dyDescent="0.25">
      <c r="B82" s="8"/>
      <c r="N82" s="13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x14ac:dyDescent="0.25">
      <c r="B89" s="8"/>
      <c r="P89" s="9"/>
      <c r="S89" s="8"/>
      <c r="AC89" s="9"/>
    </row>
    <row r="90" spans="2:29" x14ac:dyDescent="0.25">
      <c r="B90" s="8"/>
      <c r="P90" s="9"/>
      <c r="S90" s="8"/>
      <c r="AC90" s="9"/>
    </row>
    <row r="91" spans="2:29" ht="15.75" thickBot="1" x14ac:dyDescent="0.3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.75" thickTop="1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x14ac:dyDescent="0.25">
      <c r="B99" s="8"/>
      <c r="P99" s="9"/>
    </row>
    <row r="100" spans="2:31" x14ac:dyDescent="0.25">
      <c r="B100" s="8"/>
      <c r="P100" s="9"/>
    </row>
    <row r="101" spans="2:31" ht="16.5" customHeight="1" x14ac:dyDescent="0.25">
      <c r="B101" s="8"/>
      <c r="P101" s="9"/>
    </row>
    <row r="102" spans="2:31" x14ac:dyDescent="0.25">
      <c r="B102" s="8"/>
      <c r="P102" s="9"/>
    </row>
    <row r="103" spans="2:31" ht="15.75" thickBot="1" x14ac:dyDescent="0.3"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2"/>
    </row>
    <row r="104" spans="2:31" ht="15.75" thickTop="1" x14ac:dyDescent="0.25"/>
    <row r="105" spans="2:31" ht="15.75" thickBot="1" x14ac:dyDescent="0.3"/>
    <row r="106" spans="2:31" ht="15.75" thickTop="1" x14ac:dyDescent="0.25"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3"/>
    </row>
    <row r="107" spans="2:31" s="6" customFormat="1" ht="61.5" customHeight="1" x14ac:dyDescent="0.25">
      <c r="B107" s="4"/>
      <c r="C107" s="73" t="s">
        <v>31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5"/>
      <c r="T107" s="67"/>
      <c r="U107" s="67"/>
      <c r="V107" s="67"/>
      <c r="W107" s="67"/>
      <c r="X107" s="67"/>
      <c r="Y107" s="67"/>
      <c r="Z107" s="67"/>
      <c r="AA107" s="67"/>
      <c r="AB107" s="67"/>
      <c r="AE107" s="7"/>
    </row>
    <row r="108" spans="2:31" x14ac:dyDescent="0.25">
      <c r="B108" s="8"/>
      <c r="P108" s="9"/>
    </row>
    <row r="109" spans="2:31" x14ac:dyDescent="0.25">
      <c r="B109" s="8"/>
      <c r="P109" s="9"/>
    </row>
    <row r="110" spans="2:31" x14ac:dyDescent="0.25">
      <c r="B110" s="8"/>
      <c r="P110" s="9"/>
    </row>
    <row r="111" spans="2:31" x14ac:dyDescent="0.25">
      <c r="B111" s="8"/>
      <c r="P111" s="9"/>
    </row>
    <row r="112" spans="2:31" x14ac:dyDescent="0.25">
      <c r="B112" s="8"/>
      <c r="J112" s="63" t="s">
        <v>35</v>
      </c>
      <c r="N112" s="63" t="s">
        <v>35</v>
      </c>
      <c r="P112" s="9"/>
      <c r="V112" s="14"/>
    </row>
    <row r="113" spans="2:26" x14ac:dyDescent="0.25">
      <c r="B113" s="8"/>
      <c r="I113" t="s">
        <v>1</v>
      </c>
      <c r="J113" s="64">
        <f>'szacunek rynku_11 2025'!I55/'szacunek rynku_11 2025'!I27</f>
        <v>0.8839778684069558</v>
      </c>
      <c r="M113" t="s">
        <v>25</v>
      </c>
      <c r="N113" s="64">
        <f>('szacunek rynku_11 2025'!I11+'szacunek rynku_11 2025'!I12)/'szacunek rynku_11 2025'!I27</f>
        <v>0.623543512967485</v>
      </c>
      <c r="P113" s="9"/>
      <c r="V113" s="66"/>
      <c r="Z113" s="13"/>
    </row>
    <row r="114" spans="2:26" x14ac:dyDescent="0.25">
      <c r="B114" s="8"/>
      <c r="I114" t="s">
        <v>2</v>
      </c>
      <c r="J114" s="64">
        <f>1-J113</f>
        <v>0.1160221315930442</v>
      </c>
      <c r="M114" t="s">
        <v>26</v>
      </c>
      <c r="N114" s="64">
        <f>'szacunek rynku_11 2025'!I13/'szacunek rynku_11 2025'!I27</f>
        <v>0.16357738052826032</v>
      </c>
      <c r="P114" s="9"/>
      <c r="V114" s="66"/>
      <c r="Z114" s="13"/>
    </row>
    <row r="115" spans="2:26" x14ac:dyDescent="0.25">
      <c r="B115" s="8"/>
      <c r="M115" t="s">
        <v>27</v>
      </c>
      <c r="N115" s="64">
        <f>'szacunek rynku_11 2025'!I19/'szacunek rynku_11 2025'!I27</f>
        <v>0.18862031736623919</v>
      </c>
      <c r="P115" s="9"/>
      <c r="Z115" s="13"/>
    </row>
    <row r="116" spans="2:26" x14ac:dyDescent="0.25">
      <c r="B116" s="8"/>
      <c r="M116" t="s">
        <v>7</v>
      </c>
      <c r="N116" s="64">
        <f>'szacunek rynku_11 2025'!I23/'szacunek rynku_11 2025'!I27</f>
        <v>1.0265692878245962E-2</v>
      </c>
      <c r="P116" s="9"/>
    </row>
    <row r="117" spans="2:26" x14ac:dyDescent="0.25">
      <c r="B117" s="8"/>
      <c r="M117" t="s">
        <v>22</v>
      </c>
      <c r="N117" s="64">
        <f>('szacunek rynku_11 2025'!I18+'szacunek rynku_11 2025'!I24+'szacunek rynku_11 2025'!I25)/'szacunek rynku_11 2025'!I27</f>
        <v>1.3993096259769551E-2</v>
      </c>
      <c r="P117" s="9"/>
    </row>
    <row r="118" spans="2:26" x14ac:dyDescent="0.25">
      <c r="B118" s="8"/>
      <c r="P118" s="9"/>
    </row>
    <row r="119" spans="2:26" x14ac:dyDescent="0.25">
      <c r="B119" s="8"/>
      <c r="P119" s="9"/>
    </row>
    <row r="120" spans="2:26" x14ac:dyDescent="0.25">
      <c r="B120" s="8"/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x14ac:dyDescent="0.25">
      <c r="B133" s="8"/>
      <c r="P133" s="9"/>
    </row>
    <row r="134" spans="2:16" x14ac:dyDescent="0.25">
      <c r="B134" s="8"/>
      <c r="P134" s="9"/>
    </row>
    <row r="135" spans="2:16" ht="16.5" customHeight="1" x14ac:dyDescent="0.25">
      <c r="B135" s="8"/>
      <c r="P135" s="9"/>
    </row>
    <row r="136" spans="2:16" ht="15.75" thickBot="1" x14ac:dyDescent="0.3">
      <c r="B136" s="10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2"/>
    </row>
    <row r="137" spans="2:16" ht="15.75" thickTop="1" x14ac:dyDescent="0.25"/>
  </sheetData>
  <mergeCells count="7">
    <mergeCell ref="C107:O107"/>
    <mergeCell ref="C5:O5"/>
    <mergeCell ref="T5:AB5"/>
    <mergeCell ref="C40:O40"/>
    <mergeCell ref="T40:AB40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opLeftCell="A64" zoomScaleNormal="100" workbookViewId="0">
      <selection activeCell="B70" sqref="B70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2:16" ht="23.25" x14ac:dyDescent="0.35">
      <c r="B2" s="76" t="s">
        <v>52</v>
      </c>
    </row>
    <row r="4" spans="2:16" ht="18" x14ac:dyDescent="0.2">
      <c r="B4" s="21" t="s">
        <v>19</v>
      </c>
    </row>
    <row r="5" spans="2:16" ht="14.25" customHeight="1" x14ac:dyDescent="0.2"/>
    <row r="6" spans="2:16" ht="14.25" customHeight="1" x14ac:dyDescent="0.2"/>
    <row r="7" spans="2:16" ht="45" customHeight="1" x14ac:dyDescent="0.2">
      <c r="C7" s="75" t="str">
        <f>C$35</f>
        <v>I-X 2025 vs I-X 2024</v>
      </c>
      <c r="D7" s="75"/>
      <c r="E7" s="75"/>
      <c r="F7" s="75"/>
      <c r="H7" s="75" t="str">
        <f>H$35</f>
        <v>XI 2025 vs XI 2024</v>
      </c>
      <c r="I7" s="75"/>
      <c r="J7" s="75"/>
      <c r="K7" s="75"/>
      <c r="M7" s="75" t="str">
        <f>M$35</f>
        <v>I-XI 2025 vs I-XI 2024</v>
      </c>
      <c r="N7" s="75"/>
      <c r="O7" s="75"/>
      <c r="P7" s="75"/>
    </row>
    <row r="8" spans="2:16" x14ac:dyDescent="0.2">
      <c r="F8" s="22"/>
      <c r="K8" s="22"/>
      <c r="P8" s="22"/>
    </row>
    <row r="9" spans="2:16" ht="22.5" x14ac:dyDescent="0.2">
      <c r="C9" s="25" t="str">
        <f>C$37</f>
        <v>I-X 2024</v>
      </c>
      <c r="D9" s="25" t="str">
        <f>D$37</f>
        <v>I-X 2025</v>
      </c>
      <c r="F9" s="25" t="str">
        <f>F$37</f>
        <v>I-X 25/
I-X 24</v>
      </c>
      <c r="H9" s="25" t="str">
        <f>H$37</f>
        <v>XI 2024</v>
      </c>
      <c r="I9" s="25" t="str">
        <f>I$37</f>
        <v>XI 2025</v>
      </c>
      <c r="K9" s="25" t="str">
        <f>K$37</f>
        <v>XI 2025/
XI 2024</v>
      </c>
      <c r="M9" s="25" t="str">
        <f>M$37</f>
        <v>I-XI 2024</v>
      </c>
      <c r="N9" s="25" t="str">
        <f>N$37</f>
        <v>I-XI 2025</v>
      </c>
      <c r="P9" s="25" t="str">
        <f>P$37</f>
        <v>I-XI 25/
I-XI 24</v>
      </c>
    </row>
    <row r="10" spans="2:16" x14ac:dyDescent="0.2">
      <c r="B10" s="27" t="s">
        <v>14</v>
      </c>
      <c r="C10" s="68">
        <f>SUM(C11:C12,C14:C18)</f>
        <v>64487.172457865119</v>
      </c>
      <c r="D10" s="68">
        <f>SUM(D11:D12,D14:D18)</f>
        <v>71088.588008344741</v>
      </c>
      <c r="E10" s="54"/>
      <c r="F10" s="55">
        <f t="shared" ref="F10:F25" si="0">IF(C10,D10/C10-1,"")</f>
        <v>0.10236788649390505</v>
      </c>
      <c r="G10" s="54"/>
      <c r="H10" s="68">
        <f>SUM(H11:H12,H14:H18)</f>
        <v>7182.2969537130575</v>
      </c>
      <c r="I10" s="68">
        <f>SUM(I11:I12,I14:I18)</f>
        <v>7792.2981598230081</v>
      </c>
      <c r="J10" s="54"/>
      <c r="K10" s="55">
        <f t="shared" ref="K10:K25" si="1">IF(H10,I10/H10-1,"")</f>
        <v>8.4931214908149366E-2</v>
      </c>
      <c r="L10" s="54"/>
      <c r="M10" s="68">
        <f>SUM(M11:M12,M14:M18)</f>
        <v>71669.469411578175</v>
      </c>
      <c r="N10" s="68">
        <f>SUM(N11:N12,N14:N18)</f>
        <v>78880.886168167766</v>
      </c>
      <c r="O10" s="54"/>
      <c r="P10" s="55">
        <f t="shared" ref="P10:P25" si="2">IF(M10,N10/M10-1,"")</f>
        <v>0.10062048478657482</v>
      </c>
    </row>
    <row r="11" spans="2:16" x14ac:dyDescent="0.2">
      <c r="B11" s="56" t="s">
        <v>0</v>
      </c>
      <c r="C11" s="69">
        <f t="shared" ref="C11:D11" si="3">C39+C66</f>
        <v>41448.342193096316</v>
      </c>
      <c r="D11" s="69">
        <f t="shared" si="3"/>
        <v>47118.574920705549</v>
      </c>
      <c r="E11" s="20"/>
      <c r="F11" s="28">
        <f t="shared" si="0"/>
        <v>0.13680240095474017</v>
      </c>
      <c r="G11" s="20"/>
      <c r="H11" s="69">
        <f t="shared" ref="H11:I11" si="4">H39+H66</f>
        <v>4756.8411354800364</v>
      </c>
      <c r="I11" s="69">
        <f t="shared" si="4"/>
        <v>5454.0599759968454</v>
      </c>
      <c r="J11" s="20"/>
      <c r="K11" s="28">
        <f t="shared" si="1"/>
        <v>0.14657181534115904</v>
      </c>
      <c r="L11" s="20"/>
      <c r="M11" s="69">
        <f>C11+H11</f>
        <v>46205.18332857635</v>
      </c>
      <c r="N11" s="69">
        <f>D11+I11</f>
        <v>52572.634896702395</v>
      </c>
      <c r="O11" s="20"/>
      <c r="P11" s="28">
        <f t="shared" si="2"/>
        <v>0.13780816586843825</v>
      </c>
    </row>
    <row r="12" spans="2:16" x14ac:dyDescent="0.2">
      <c r="B12" s="56" t="s">
        <v>8</v>
      </c>
      <c r="C12" s="69">
        <f t="shared" ref="C12:D12" si="5">C40+C67</f>
        <v>6841.2168752551161</v>
      </c>
      <c r="D12" s="69">
        <f t="shared" si="5"/>
        <v>6792.4617225215743</v>
      </c>
      <c r="E12" s="20"/>
      <c r="F12" s="28">
        <f t="shared" si="0"/>
        <v>-7.1266784290804353E-3</v>
      </c>
      <c r="G12" s="20"/>
      <c r="H12" s="69">
        <f t="shared" ref="H12:I12" si="6">H40+H67</f>
        <v>646.90429240421713</v>
      </c>
      <c r="I12" s="69">
        <f t="shared" si="6"/>
        <v>673.51724226168983</v>
      </c>
      <c r="J12" s="20"/>
      <c r="K12" s="28">
        <f t="shared" si="1"/>
        <v>4.1138929158385684E-2</v>
      </c>
      <c r="L12" s="20"/>
      <c r="M12" s="69">
        <f>C12+H12</f>
        <v>7488.121167659333</v>
      </c>
      <c r="N12" s="69">
        <f>D12+I12</f>
        <v>7465.978964783264</v>
      </c>
      <c r="O12" s="20"/>
      <c r="P12" s="28">
        <f t="shared" si="2"/>
        <v>-2.9569771081829899E-3</v>
      </c>
    </row>
    <row r="13" spans="2:16" x14ac:dyDescent="0.2">
      <c r="B13" s="29" t="s">
        <v>9</v>
      </c>
      <c r="C13" s="70">
        <f>C14+C15+C16+C17</f>
        <v>15405.049082133337</v>
      </c>
      <c r="D13" s="70">
        <f>D14+D15+D16+D17</f>
        <v>16317.015334104442</v>
      </c>
      <c r="F13" s="59">
        <f t="shared" si="0"/>
        <v>5.9199178601046842E-2</v>
      </c>
      <c r="H13" s="70">
        <f>H14+H15+H16+H17</f>
        <v>1705.946578103627</v>
      </c>
      <c r="I13" s="70">
        <f>I14+I15+I16+I17</f>
        <v>1607.4788839951295</v>
      </c>
      <c r="K13" s="59">
        <f t="shared" si="1"/>
        <v>-5.7720268250109341E-2</v>
      </c>
      <c r="M13" s="70">
        <f>M14+M15+M16+M17</f>
        <v>17110.995660236964</v>
      </c>
      <c r="N13" s="70">
        <f>N14+N15+N16+N17</f>
        <v>17924.494218099571</v>
      </c>
      <c r="P13" s="59">
        <f t="shared" si="2"/>
        <v>4.7542444286456043E-2</v>
      </c>
    </row>
    <row r="14" spans="2:16" x14ac:dyDescent="0.2">
      <c r="B14" s="57" t="s">
        <v>10</v>
      </c>
      <c r="C14" s="69">
        <f t="shared" ref="C14:D14" si="7">C42+C69</f>
        <v>3791.8254975490045</v>
      </c>
      <c r="D14" s="69">
        <f t="shared" si="7"/>
        <v>3762.8763558442506</v>
      </c>
      <c r="E14" s="20"/>
      <c r="F14" s="28">
        <f t="shared" si="0"/>
        <v>-7.6346186615038336E-3</v>
      </c>
      <c r="G14" s="20"/>
      <c r="H14" s="69">
        <f t="shared" ref="H14:I14" si="8">H42+H69</f>
        <v>448.90152179246604</v>
      </c>
      <c r="I14" s="69">
        <f t="shared" si="8"/>
        <v>370.982783780364</v>
      </c>
      <c r="J14" s="20"/>
      <c r="K14" s="28">
        <f t="shared" si="1"/>
        <v>-0.17357646216250755</v>
      </c>
      <c r="L14" s="20"/>
      <c r="M14" s="69">
        <f t="shared" ref="M14:N18" si="9">C14+H14</f>
        <v>4240.7270193414706</v>
      </c>
      <c r="N14" s="69">
        <f t="shared" si="9"/>
        <v>4133.8591396246147</v>
      </c>
      <c r="O14" s="20"/>
      <c r="P14" s="28">
        <f t="shared" si="2"/>
        <v>-2.5200367585426653E-2</v>
      </c>
    </row>
    <row r="15" spans="2:16" x14ac:dyDescent="0.2">
      <c r="B15" s="57" t="s">
        <v>4</v>
      </c>
      <c r="C15" s="69">
        <f t="shared" ref="C15:D15" si="10">C43+C70</f>
        <v>7275.2179898142022</v>
      </c>
      <c r="D15" s="69">
        <f t="shared" si="10"/>
        <v>7679.014240164146</v>
      </c>
      <c r="E15" s="20"/>
      <c r="F15" s="28">
        <f t="shared" si="0"/>
        <v>5.5502976119105485E-2</v>
      </c>
      <c r="G15" s="20"/>
      <c r="H15" s="69">
        <f t="shared" ref="H15:I15" si="11">H43+H70</f>
        <v>757.68425362773189</v>
      </c>
      <c r="I15" s="69">
        <f t="shared" si="11"/>
        <v>832.25563188868432</v>
      </c>
      <c r="J15" s="20"/>
      <c r="K15" s="28">
        <f t="shared" si="1"/>
        <v>9.8420124087191363E-2</v>
      </c>
      <c r="L15" s="20"/>
      <c r="M15" s="69">
        <f t="shared" si="9"/>
        <v>8032.9022434419339</v>
      </c>
      <c r="N15" s="69">
        <f t="shared" si="9"/>
        <v>8511.2698720528297</v>
      </c>
      <c r="O15" s="20"/>
      <c r="P15" s="28">
        <f t="shared" si="2"/>
        <v>5.9551033252201568E-2</v>
      </c>
    </row>
    <row r="16" spans="2:16" x14ac:dyDescent="0.2">
      <c r="B16" s="57" t="s">
        <v>11</v>
      </c>
      <c r="C16" s="69">
        <f t="shared" ref="C16:D16" si="12">C44+C71</f>
        <v>3097.0376032681525</v>
      </c>
      <c r="D16" s="69">
        <f t="shared" si="12"/>
        <v>3402.272649661069</v>
      </c>
      <c r="E16" s="20"/>
      <c r="F16" s="28">
        <f t="shared" si="0"/>
        <v>9.8557100524325758E-2</v>
      </c>
      <c r="G16" s="20"/>
      <c r="H16" s="69">
        <f t="shared" ref="H16:I16" si="13">H44+H71</f>
        <v>294.02736353348854</v>
      </c>
      <c r="I16" s="69">
        <f t="shared" si="13"/>
        <v>299.04395658892037</v>
      </c>
      <c r="J16" s="20"/>
      <c r="K16" s="28">
        <f t="shared" si="1"/>
        <v>1.7061653701698543E-2</v>
      </c>
      <c r="L16" s="20"/>
      <c r="M16" s="69">
        <f t="shared" si="9"/>
        <v>3391.0649668016408</v>
      </c>
      <c r="N16" s="69">
        <f t="shared" si="9"/>
        <v>3701.3166062499895</v>
      </c>
      <c r="O16" s="20"/>
      <c r="P16" s="28">
        <f t="shared" si="2"/>
        <v>9.1490915829008479E-2</v>
      </c>
    </row>
    <row r="17" spans="2:16" x14ac:dyDescent="0.2">
      <c r="B17" s="57" t="s">
        <v>6</v>
      </c>
      <c r="C17" s="69">
        <f t="shared" ref="C17:D17" si="14">C45+C72</f>
        <v>1240.9679915019763</v>
      </c>
      <c r="D17" s="69">
        <f t="shared" si="14"/>
        <v>1472.8520884349759</v>
      </c>
      <c r="E17" s="20"/>
      <c r="F17" s="28">
        <f t="shared" si="0"/>
        <v>0.18685743590561454</v>
      </c>
      <c r="G17" s="20"/>
      <c r="H17" s="69">
        <f t="shared" ref="H17:I17" si="15">H45+H72</f>
        <v>205.33343914994035</v>
      </c>
      <c r="I17" s="69">
        <f t="shared" si="15"/>
        <v>105.19651173716106</v>
      </c>
      <c r="J17" s="20"/>
      <c r="K17" s="28">
        <f t="shared" si="1"/>
        <v>-0.48767958997490146</v>
      </c>
      <c r="L17" s="20"/>
      <c r="M17" s="69">
        <f t="shared" si="9"/>
        <v>1446.3014306519167</v>
      </c>
      <c r="N17" s="69">
        <f t="shared" si="9"/>
        <v>1578.048600172137</v>
      </c>
      <c r="O17" s="20"/>
      <c r="P17" s="28">
        <f t="shared" si="2"/>
        <v>9.1092469887716021E-2</v>
      </c>
    </row>
    <row r="18" spans="2:16" x14ac:dyDescent="0.2">
      <c r="B18" s="56" t="s">
        <v>12</v>
      </c>
      <c r="C18" s="69">
        <f t="shared" ref="C18:D18" si="16">C46+C73</f>
        <v>792.56430738035669</v>
      </c>
      <c r="D18" s="69">
        <f t="shared" si="16"/>
        <v>860.53603101317685</v>
      </c>
      <c r="E18" s="20"/>
      <c r="F18" s="28">
        <f t="shared" si="0"/>
        <v>8.5761777309257603E-2</v>
      </c>
      <c r="G18" s="20"/>
      <c r="H18" s="69">
        <f t="shared" ref="H18:I18" si="17">H46+H73</f>
        <v>72.604947725177283</v>
      </c>
      <c r="I18" s="69">
        <f t="shared" si="17"/>
        <v>57.242057569343146</v>
      </c>
      <c r="J18" s="20"/>
      <c r="K18" s="28">
        <f t="shared" si="1"/>
        <v>-0.21159563689771421</v>
      </c>
      <c r="L18" s="20"/>
      <c r="M18" s="69">
        <f t="shared" si="9"/>
        <v>865.16925510553392</v>
      </c>
      <c r="N18" s="69">
        <f t="shared" si="9"/>
        <v>917.77808858252001</v>
      </c>
      <c r="O18" s="20"/>
      <c r="P18" s="28">
        <f t="shared" si="2"/>
        <v>6.0807562412245941E-2</v>
      </c>
    </row>
    <row r="19" spans="2:16" x14ac:dyDescent="0.2">
      <c r="B19" s="27" t="s">
        <v>27</v>
      </c>
      <c r="C19" s="68">
        <f>SUM(C20:C22)</f>
        <v>21495.366127561836</v>
      </c>
      <c r="D19" s="68">
        <f>SUM(D20:D22)</f>
        <v>22173.463674317078</v>
      </c>
      <c r="E19" s="54"/>
      <c r="F19" s="19">
        <f t="shared" si="0"/>
        <v>3.1546219902985007E-2</v>
      </c>
      <c r="G19" s="54"/>
      <c r="H19" s="68">
        <f>SUM(H20:H22)</f>
        <v>1990.7096578390831</v>
      </c>
      <c r="I19" s="68">
        <f>SUM(I20:I22)</f>
        <v>1853.5764314082937</v>
      </c>
      <c r="J19" s="54"/>
      <c r="K19" s="19">
        <f t="shared" si="1"/>
        <v>-6.8886603272748315E-2</v>
      </c>
      <c r="L19" s="54"/>
      <c r="M19" s="68">
        <f>SUM(M20:M22)</f>
        <v>23486.075785400921</v>
      </c>
      <c r="N19" s="68">
        <f>SUM(N20:N22)</f>
        <v>24027.040105725369</v>
      </c>
      <c r="O19" s="54"/>
      <c r="P19" s="19">
        <f t="shared" si="2"/>
        <v>2.3033406060143813E-2</v>
      </c>
    </row>
    <row r="20" spans="2:16" x14ac:dyDescent="0.2">
      <c r="B20" s="56" t="s">
        <v>24</v>
      </c>
      <c r="C20" s="69">
        <f t="shared" ref="C20:D20" si="18">C48+C75</f>
        <v>4344.9708112330454</v>
      </c>
      <c r="D20" s="69">
        <f t="shared" si="18"/>
        <v>3891.5115828284488</v>
      </c>
      <c r="E20" s="20"/>
      <c r="F20" s="28">
        <f t="shared" si="0"/>
        <v>-0.10436415987703973</v>
      </c>
      <c r="G20" s="20"/>
      <c r="H20" s="69">
        <f t="shared" ref="H20:I20" si="19">H48+H75</f>
        <v>437.80138585092055</v>
      </c>
      <c r="I20" s="69">
        <f t="shared" si="19"/>
        <v>385.49565617397809</v>
      </c>
      <c r="J20" s="20"/>
      <c r="K20" s="28">
        <f t="shared" si="1"/>
        <v>-0.11947365030670221</v>
      </c>
      <c r="L20" s="20"/>
      <c r="M20" s="69">
        <f t="shared" ref="M20:N25" si="20">C20+H20</f>
        <v>4782.7721970839657</v>
      </c>
      <c r="N20" s="69">
        <f t="shared" si="20"/>
        <v>4277.007239002427</v>
      </c>
      <c r="O20" s="20"/>
      <c r="P20" s="28">
        <f t="shared" si="2"/>
        <v>-0.10574723972634559</v>
      </c>
    </row>
    <row r="21" spans="2:16" x14ac:dyDescent="0.2">
      <c r="B21" s="56" t="s">
        <v>23</v>
      </c>
      <c r="C21" s="69">
        <f t="shared" ref="C21:D21" si="21">C49+C76</f>
        <v>5116.5201242898747</v>
      </c>
      <c r="D21" s="69">
        <f t="shared" si="21"/>
        <v>6646.1902791886723</v>
      </c>
      <c r="E21" s="20"/>
      <c r="F21" s="28">
        <f t="shared" si="0"/>
        <v>0.29896689893526052</v>
      </c>
      <c r="G21" s="20"/>
      <c r="H21" s="69">
        <f t="shared" ref="H21:I21" si="22">H49+H76</f>
        <v>382.64264145013954</v>
      </c>
      <c r="I21" s="69">
        <f t="shared" si="22"/>
        <v>345.89374986751739</v>
      </c>
      <c r="J21" s="20"/>
      <c r="K21" s="28">
        <f t="shared" si="1"/>
        <v>-9.6039718530457452E-2</v>
      </c>
      <c r="L21" s="20"/>
      <c r="M21" s="69">
        <f t="shared" si="20"/>
        <v>5499.162765740014</v>
      </c>
      <c r="N21" s="69">
        <f t="shared" si="20"/>
        <v>6992.08402905619</v>
      </c>
      <c r="O21" s="20"/>
      <c r="P21" s="28">
        <f t="shared" si="2"/>
        <v>0.27148155581375599</v>
      </c>
    </row>
    <row r="22" spans="2:16" x14ac:dyDescent="0.2">
      <c r="B22" s="56" t="s">
        <v>13</v>
      </c>
      <c r="C22" s="69">
        <f t="shared" ref="C22:D22" si="23">C50+C77</f>
        <v>12033.875192038917</v>
      </c>
      <c r="D22" s="69">
        <f t="shared" si="23"/>
        <v>11635.761812299956</v>
      </c>
      <c r="E22" s="20"/>
      <c r="F22" s="28">
        <f t="shared" si="0"/>
        <v>-3.3082724673955011E-2</v>
      </c>
      <c r="G22" s="20"/>
      <c r="H22" s="69">
        <f t="shared" ref="H22:I22" si="24">H50+H77</f>
        <v>1170.2656305380231</v>
      </c>
      <c r="I22" s="69">
        <f t="shared" si="24"/>
        <v>1122.1870253667983</v>
      </c>
      <c r="J22" s="20"/>
      <c r="K22" s="28">
        <f t="shared" si="1"/>
        <v>-4.1083497555269521E-2</v>
      </c>
      <c r="L22" s="20"/>
      <c r="M22" s="69">
        <f t="shared" si="20"/>
        <v>13204.140822576939</v>
      </c>
      <c r="N22" s="69">
        <f t="shared" si="20"/>
        <v>12757.948837666754</v>
      </c>
      <c r="O22" s="20"/>
      <c r="P22" s="28">
        <f t="shared" si="2"/>
        <v>-3.3791822649094194E-2</v>
      </c>
    </row>
    <row r="23" spans="2:16" x14ac:dyDescent="0.2">
      <c r="B23" s="27" t="s">
        <v>7</v>
      </c>
      <c r="C23" s="68">
        <f t="shared" ref="C23:D23" si="25">C51+C78</f>
        <v>826.39550772178779</v>
      </c>
      <c r="D23" s="68">
        <f t="shared" si="25"/>
        <v>1061.291320539613</v>
      </c>
      <c r="E23" s="54"/>
      <c r="F23" s="19">
        <f t="shared" si="0"/>
        <v>0.28424139606637921</v>
      </c>
      <c r="G23" s="54"/>
      <c r="H23" s="68">
        <f t="shared" ref="H23:I23" si="26">H51+H78</f>
        <v>72.002911810191137</v>
      </c>
      <c r="I23" s="68">
        <f t="shared" si="26"/>
        <v>100.88121278179187</v>
      </c>
      <c r="J23" s="54"/>
      <c r="K23" s="19">
        <f t="shared" si="1"/>
        <v>0.40107129344612646</v>
      </c>
      <c r="L23" s="54"/>
      <c r="M23" s="68">
        <f t="shared" si="20"/>
        <v>898.3984195319789</v>
      </c>
      <c r="N23" s="68">
        <f t="shared" si="20"/>
        <v>1162.1725333214049</v>
      </c>
      <c r="O23" s="54"/>
      <c r="P23" s="19">
        <f t="shared" si="2"/>
        <v>0.29360482838654067</v>
      </c>
    </row>
    <row r="24" spans="2:16" x14ac:dyDescent="0.2">
      <c r="B24" s="27" t="s">
        <v>15</v>
      </c>
      <c r="C24" s="68">
        <f t="shared" ref="C24:D24" si="27">C52+C79</f>
        <v>1318.7993379787497</v>
      </c>
      <c r="D24" s="68">
        <f t="shared" si="27"/>
        <v>1586.7405077000992</v>
      </c>
      <c r="E24" s="54"/>
      <c r="F24" s="19">
        <f t="shared" si="0"/>
        <v>0.2031705370219612</v>
      </c>
      <c r="G24" s="54"/>
      <c r="H24" s="68">
        <f t="shared" ref="H24:I24" si="28">H52+H79</f>
        <v>140.93922691235224</v>
      </c>
      <c r="I24" s="68">
        <f t="shared" si="28"/>
        <v>44.273693504815427</v>
      </c>
      <c r="J24" s="54"/>
      <c r="K24" s="19">
        <f t="shared" si="1"/>
        <v>-0.68586677765482218</v>
      </c>
      <c r="L24" s="54"/>
      <c r="M24" s="68">
        <f t="shared" si="20"/>
        <v>1459.738564891102</v>
      </c>
      <c r="N24" s="68">
        <f t="shared" si="20"/>
        <v>1631.0142012049146</v>
      </c>
      <c r="O24" s="54"/>
      <c r="P24" s="19">
        <f t="shared" si="2"/>
        <v>0.11733308993353209</v>
      </c>
    </row>
    <row r="25" spans="2:16" x14ac:dyDescent="0.2">
      <c r="B25" s="27" t="s">
        <v>12</v>
      </c>
      <c r="C25" s="68">
        <f t="shared" ref="C25:D25" si="29">C53+C80</f>
        <v>533.16293080626087</v>
      </c>
      <c r="D25" s="68">
        <f t="shared" si="29"/>
        <v>402.35270353243538</v>
      </c>
      <c r="E25" s="54"/>
      <c r="F25" s="19">
        <f t="shared" si="0"/>
        <v>-0.24534756584823203</v>
      </c>
      <c r="G25" s="54"/>
      <c r="H25" s="68">
        <f t="shared" ref="H25:I25" si="30">H53+H80</f>
        <v>70.692132780999813</v>
      </c>
      <c r="I25" s="68">
        <f t="shared" si="30"/>
        <v>35.994745099881129</v>
      </c>
      <c r="J25" s="54"/>
      <c r="K25" s="19">
        <f t="shared" si="1"/>
        <v>-0.49082389109137803</v>
      </c>
      <c r="L25" s="54"/>
      <c r="M25" s="68">
        <f t="shared" si="20"/>
        <v>603.8550635872607</v>
      </c>
      <c r="N25" s="68">
        <f t="shared" si="20"/>
        <v>438.34744863231651</v>
      </c>
      <c r="O25" s="54"/>
      <c r="P25" s="19">
        <f t="shared" si="2"/>
        <v>-0.27408499975429512</v>
      </c>
    </row>
    <row r="26" spans="2:16" ht="13.5" thickBot="1" x14ac:dyDescent="0.25">
      <c r="F26" s="22"/>
      <c r="K26" s="22"/>
      <c r="P26" s="22"/>
    </row>
    <row r="27" spans="2:16" ht="16.5" thickBot="1" x14ac:dyDescent="0.25">
      <c r="B27" s="31" t="s">
        <v>18</v>
      </c>
      <c r="C27" s="61">
        <f>SUM(C10,C20:C25)</f>
        <v>88660.896361933745</v>
      </c>
      <c r="D27" s="62">
        <f>SUM(D10,D20:D25)</f>
        <v>96312.436214433968</v>
      </c>
      <c r="F27" s="32">
        <f>IF(C27,D27/C27-1,"")</f>
        <v>8.6301178608266138E-2</v>
      </c>
      <c r="H27" s="61">
        <f>SUM(H10,H20:H25)</f>
        <v>9456.6408830556848</v>
      </c>
      <c r="I27" s="62">
        <f>SUM(I10,I20:I25)</f>
        <v>9827.0242426177902</v>
      </c>
      <c r="K27" s="32">
        <f>IF(H27,I27/H27-1,"")</f>
        <v>3.9166482490178289E-2</v>
      </c>
      <c r="M27" s="61">
        <f>SUM(M10,M20:M25)</f>
        <v>98117.537244989435</v>
      </c>
      <c r="N27" s="62">
        <f>SUM(N10,N20:N25)</f>
        <v>106139.46045705177</v>
      </c>
      <c r="P27" s="32">
        <f>IF(M27,N27/M27-1,"")</f>
        <v>8.1758301699240699E-2</v>
      </c>
    </row>
    <row r="34" spans="1:16" ht="18" x14ac:dyDescent="0.2">
      <c r="B34" s="21" t="s">
        <v>20</v>
      </c>
    </row>
    <row r="35" spans="1:16" ht="45" customHeight="1" x14ac:dyDescent="0.2">
      <c r="A35" s="23"/>
      <c r="C35" s="74" t="s">
        <v>36</v>
      </c>
      <c r="D35" s="74"/>
      <c r="E35" s="74"/>
      <c r="F35" s="74"/>
      <c r="H35" s="74" t="s">
        <v>40</v>
      </c>
      <c r="I35" s="74"/>
      <c r="J35" s="74"/>
      <c r="K35" s="74"/>
      <c r="M35" s="74" t="s">
        <v>41</v>
      </c>
      <c r="N35" s="74"/>
      <c r="O35" s="74"/>
      <c r="P35" s="74"/>
    </row>
    <row r="37" spans="1:16" ht="22.5" x14ac:dyDescent="0.2">
      <c r="A37" s="24"/>
      <c r="C37" s="25" t="s">
        <v>37</v>
      </c>
      <c r="D37" s="25" t="s">
        <v>38</v>
      </c>
      <c r="F37" s="25" t="s">
        <v>39</v>
      </c>
      <c r="H37" s="25" t="s">
        <v>42</v>
      </c>
      <c r="I37" s="25" t="s">
        <v>43</v>
      </c>
      <c r="K37" s="25" t="s">
        <v>44</v>
      </c>
      <c r="M37" s="25" t="s">
        <v>45</v>
      </c>
      <c r="N37" s="25" t="s">
        <v>46</v>
      </c>
      <c r="P37" s="25" t="s">
        <v>47</v>
      </c>
    </row>
    <row r="38" spans="1:16" s="54" customFormat="1" x14ac:dyDescent="0.2">
      <c r="A38" s="41"/>
      <c r="B38" s="27" t="s">
        <v>14</v>
      </c>
      <c r="C38" s="68">
        <v>60892.779927710224</v>
      </c>
      <c r="D38" s="68">
        <v>66055.458394613815</v>
      </c>
      <c r="F38" s="55">
        <f t="shared" ref="F38:F53" si="31">IF(C38,D38/C38-1,"")</f>
        <v>8.4783096994956342E-2</v>
      </c>
      <c r="H38" s="68">
        <v>6757.3402278506092</v>
      </c>
      <c r="I38" s="68">
        <v>7279.1123074977895</v>
      </c>
      <c r="K38" s="55">
        <f t="shared" ref="K38:K53" si="32">IF(H38,I38/H38-1,"")</f>
        <v>7.7215599933340373E-2</v>
      </c>
      <c r="M38" s="68">
        <f>SUM(M39:M40,M42:M46)</f>
        <v>67650.120155560828</v>
      </c>
      <c r="N38" s="68">
        <f>SUM(N39:N40,N42:N46)</f>
        <v>73334.57070211161</v>
      </c>
      <c r="P38" s="55">
        <f t="shared" ref="P38:P53" si="33">IF(M38,N38/M38-1,"")</f>
        <v>8.402720547250242E-2</v>
      </c>
    </row>
    <row r="39" spans="1:16" s="20" customFormat="1" ht="11.25" x14ac:dyDescent="0.2">
      <c r="A39" s="26"/>
      <c r="B39" s="56" t="s">
        <v>0</v>
      </c>
      <c r="C39" s="69">
        <v>39417.153470643192</v>
      </c>
      <c r="D39" s="69">
        <v>44010.51610346228</v>
      </c>
      <c r="F39" s="28">
        <f t="shared" si="31"/>
        <v>0.11653207368817475</v>
      </c>
      <c r="H39" s="69">
        <v>4482.9006793678</v>
      </c>
      <c r="I39" s="69">
        <v>5141.5885452252796</v>
      </c>
      <c r="K39" s="28">
        <f t="shared" si="32"/>
        <v>0.14693340606207017</v>
      </c>
      <c r="M39" s="69">
        <f>C39+H39</f>
        <v>43900.05415001099</v>
      </c>
      <c r="N39" s="69">
        <f>D39+I39</f>
        <v>49152.104648687557</v>
      </c>
      <c r="P39" s="28">
        <f t="shared" si="33"/>
        <v>0.11963653804912799</v>
      </c>
    </row>
    <row r="40" spans="1:16" s="20" customFormat="1" ht="11.25" x14ac:dyDescent="0.2">
      <c r="A40" s="26"/>
      <c r="B40" s="56" t="s">
        <v>8</v>
      </c>
      <c r="C40" s="69">
        <v>6502.2639482908935</v>
      </c>
      <c r="D40" s="69">
        <v>6459.2118098301826</v>
      </c>
      <c r="F40" s="28">
        <f t="shared" si="31"/>
        <v>-6.6210997897165891E-3</v>
      </c>
      <c r="H40" s="69">
        <v>620.2420588446322</v>
      </c>
      <c r="I40" s="69">
        <v>651.24985687325045</v>
      </c>
      <c r="K40" s="28">
        <f t="shared" si="32"/>
        <v>4.9993059300716514E-2</v>
      </c>
      <c r="M40" s="69">
        <f>C40+H40</f>
        <v>7122.5060071355256</v>
      </c>
      <c r="N40" s="69">
        <f>D40+I40</f>
        <v>7110.4616667034334</v>
      </c>
      <c r="P40" s="28">
        <f t="shared" si="33"/>
        <v>-1.6910256614772745E-3</v>
      </c>
    </row>
    <row r="41" spans="1:16" x14ac:dyDescent="0.2">
      <c r="A41" s="58"/>
      <c r="B41" s="29" t="s">
        <v>9</v>
      </c>
      <c r="C41" s="70">
        <v>14205.688783003423</v>
      </c>
      <c r="D41" s="70">
        <v>14786.612324422696</v>
      </c>
      <c r="F41" s="59">
        <f t="shared" si="31"/>
        <v>4.0893725766703248E-2</v>
      </c>
      <c r="H41" s="70">
        <v>1582.261487588275</v>
      </c>
      <c r="I41" s="70">
        <v>1440.0917472254641</v>
      </c>
      <c r="K41" s="59">
        <f t="shared" si="32"/>
        <v>-8.9852240908365744E-2</v>
      </c>
      <c r="M41" s="70">
        <f>M42+M43+M44+M45</f>
        <v>15787.950270591698</v>
      </c>
      <c r="N41" s="70">
        <f>N42+N43+N44+N45</f>
        <v>16226.704071648161</v>
      </c>
      <c r="P41" s="59">
        <f t="shared" si="33"/>
        <v>2.7790422033044493E-2</v>
      </c>
    </row>
    <row r="42" spans="1:16" s="20" customFormat="1" ht="11.25" x14ac:dyDescent="0.2">
      <c r="A42" s="26"/>
      <c r="B42" s="57" t="s">
        <v>10</v>
      </c>
      <c r="C42" s="69">
        <v>3619.4713084320792</v>
      </c>
      <c r="D42" s="69">
        <v>3561.5421825063186</v>
      </c>
      <c r="F42" s="28">
        <f t="shared" si="31"/>
        <v>-1.6004858441841074E-2</v>
      </c>
      <c r="H42" s="69">
        <v>426.09145959929594</v>
      </c>
      <c r="I42" s="69">
        <v>350.88408388569479</v>
      </c>
      <c r="K42" s="28">
        <f t="shared" si="32"/>
        <v>-0.17650524088027375</v>
      </c>
      <c r="M42" s="69">
        <f t="shared" ref="M42:M46" si="34">C42+H42</f>
        <v>4045.5627680313751</v>
      </c>
      <c r="N42" s="69">
        <f t="shared" ref="N42:N46" si="35">D42+I42</f>
        <v>3912.4262663920135</v>
      </c>
      <c r="P42" s="28">
        <f t="shared" si="33"/>
        <v>-3.29092660955419E-2</v>
      </c>
    </row>
    <row r="43" spans="1:16" s="20" customFormat="1" ht="11.25" x14ac:dyDescent="0.2">
      <c r="A43" s="26"/>
      <c r="B43" s="57" t="s">
        <v>4</v>
      </c>
      <c r="C43" s="69">
        <v>6615.078725470009</v>
      </c>
      <c r="D43" s="69">
        <v>6824.9935981647759</v>
      </c>
      <c r="F43" s="28">
        <f t="shared" si="31"/>
        <v>3.173278526323986E-2</v>
      </c>
      <c r="H43" s="69">
        <v>690.66635657480845</v>
      </c>
      <c r="I43" s="69">
        <v>719.54629390968728</v>
      </c>
      <c r="K43" s="28">
        <f t="shared" si="32"/>
        <v>4.1814599857016077E-2</v>
      </c>
      <c r="M43" s="69">
        <f t="shared" si="34"/>
        <v>7305.7450820448175</v>
      </c>
      <c r="N43" s="69">
        <f t="shared" si="35"/>
        <v>7544.5398920744628</v>
      </c>
      <c r="P43" s="28">
        <f t="shared" si="33"/>
        <v>3.2685894094022894E-2</v>
      </c>
    </row>
    <row r="44" spans="1:16" s="20" customFormat="1" ht="11.25" x14ac:dyDescent="0.2">
      <c r="A44" s="26"/>
      <c r="B44" s="57" t="s">
        <v>11</v>
      </c>
      <c r="C44" s="69">
        <v>2798.9124895080695</v>
      </c>
      <c r="D44" s="69">
        <v>3050.5312494927643</v>
      </c>
      <c r="F44" s="28">
        <f t="shared" si="31"/>
        <v>8.9898759224486868E-2</v>
      </c>
      <c r="H44" s="69">
        <v>268.02808622162144</v>
      </c>
      <c r="I44" s="69">
        <v>269.76740102774232</v>
      </c>
      <c r="K44" s="28">
        <f t="shared" si="32"/>
        <v>6.4893005454760289E-3</v>
      </c>
      <c r="M44" s="69">
        <f t="shared" si="34"/>
        <v>3066.9405757296909</v>
      </c>
      <c r="N44" s="69">
        <f t="shared" si="35"/>
        <v>3320.2986505205067</v>
      </c>
      <c r="P44" s="28">
        <f t="shared" si="33"/>
        <v>8.2609384999426272E-2</v>
      </c>
    </row>
    <row r="45" spans="1:16" s="20" customFormat="1" ht="11.25" x14ac:dyDescent="0.2">
      <c r="A45" s="26"/>
      <c r="B45" s="57" t="s">
        <v>6</v>
      </c>
      <c r="C45" s="69">
        <v>1172.2262595932661</v>
      </c>
      <c r="D45" s="69">
        <v>1349.5452942588386</v>
      </c>
      <c r="F45" s="28">
        <f t="shared" si="31"/>
        <v>0.15126690194356995</v>
      </c>
      <c r="H45" s="69">
        <v>197.47558519254918</v>
      </c>
      <c r="I45" s="69">
        <v>99.893968402339596</v>
      </c>
      <c r="K45" s="28">
        <f t="shared" si="32"/>
        <v>-0.49414522152225715</v>
      </c>
      <c r="M45" s="69">
        <f t="shared" si="34"/>
        <v>1369.7018447858154</v>
      </c>
      <c r="N45" s="69">
        <f t="shared" si="35"/>
        <v>1449.4392626611782</v>
      </c>
      <c r="P45" s="28">
        <f t="shared" si="33"/>
        <v>5.8215164255569496E-2</v>
      </c>
    </row>
    <row r="46" spans="1:16" s="20" customFormat="1" ht="11.25" x14ac:dyDescent="0.2">
      <c r="A46" s="26"/>
      <c r="B46" s="56" t="s">
        <v>12</v>
      </c>
      <c r="C46" s="69">
        <v>767.67372577271306</v>
      </c>
      <c r="D46" s="69">
        <v>799.11815689865534</v>
      </c>
      <c r="F46" s="28">
        <f t="shared" si="31"/>
        <v>4.0960671272540328E-2</v>
      </c>
      <c r="H46" s="69">
        <v>71.936002049901916</v>
      </c>
      <c r="I46" s="69">
        <v>46.182158173794953</v>
      </c>
      <c r="K46" s="28">
        <f t="shared" si="32"/>
        <v>-0.3580104974174344</v>
      </c>
      <c r="M46" s="69">
        <f t="shared" si="34"/>
        <v>839.60972782261501</v>
      </c>
      <c r="N46" s="69">
        <f t="shared" si="35"/>
        <v>845.3003150724503</v>
      </c>
      <c r="P46" s="28">
        <f t="shared" si="33"/>
        <v>6.7776575964559882E-3</v>
      </c>
    </row>
    <row r="47" spans="1:16" s="54" customFormat="1" x14ac:dyDescent="0.2">
      <c r="A47" s="60"/>
      <c r="B47" s="27" t="s">
        <v>27</v>
      </c>
      <c r="C47" s="68">
        <v>14473.79749340142</v>
      </c>
      <c r="D47" s="68">
        <v>13478.335461471508</v>
      </c>
      <c r="F47" s="19">
        <f t="shared" si="31"/>
        <v>-6.87768384478048E-2</v>
      </c>
      <c r="H47" s="68">
        <v>1375.992295077509</v>
      </c>
      <c r="I47" s="68">
        <v>1268.5080365565668</v>
      </c>
      <c r="K47" s="19">
        <f t="shared" si="32"/>
        <v>-7.811399737153879E-2</v>
      </c>
      <c r="M47" s="68">
        <f>SUM(M48:M50)</f>
        <v>15849.789788478927</v>
      </c>
      <c r="N47" s="68">
        <f>SUM(N48:N50)</f>
        <v>14746.843498028074</v>
      </c>
      <c r="P47" s="19">
        <f t="shared" si="33"/>
        <v>-6.9587439655040439E-2</v>
      </c>
    </row>
    <row r="48" spans="1:16" s="20" customFormat="1" ht="11.25" x14ac:dyDescent="0.2">
      <c r="A48" s="26"/>
      <c r="B48" s="56" t="s">
        <v>24</v>
      </c>
      <c r="C48" s="69">
        <v>3486.1690165030545</v>
      </c>
      <c r="D48" s="69">
        <v>3290.778375796534</v>
      </c>
      <c r="F48" s="28">
        <f t="shared" si="31"/>
        <v>-5.604738031391121E-2</v>
      </c>
      <c r="H48" s="69">
        <v>368.17141759310874</v>
      </c>
      <c r="I48" s="69">
        <v>347.67212635016512</v>
      </c>
      <c r="K48" s="28">
        <f t="shared" si="32"/>
        <v>-5.5678660165843663E-2</v>
      </c>
      <c r="M48" s="69">
        <f t="shared" ref="M48:M53" si="36">C48+H48</f>
        <v>3854.3404340961633</v>
      </c>
      <c r="N48" s="69">
        <f t="shared" ref="N48:N53" si="37">D48+I48</f>
        <v>3638.4505021466989</v>
      </c>
      <c r="P48" s="28">
        <f t="shared" si="33"/>
        <v>-5.6012159704333486E-2</v>
      </c>
    </row>
    <row r="49" spans="1:16" s="20" customFormat="1" ht="11.25" x14ac:dyDescent="0.2">
      <c r="A49" s="26"/>
      <c r="B49" s="56" t="s">
        <v>23</v>
      </c>
      <c r="C49" s="69">
        <v>1176.8971081590148</v>
      </c>
      <c r="D49" s="69">
        <v>1066.8874742240644</v>
      </c>
      <c r="F49" s="28">
        <f t="shared" si="31"/>
        <v>-9.3474300490919981E-2</v>
      </c>
      <c r="H49" s="69">
        <v>103.35743190773917</v>
      </c>
      <c r="I49" s="69">
        <v>79.659895737935301</v>
      </c>
      <c r="K49" s="28">
        <f t="shared" si="32"/>
        <v>-0.22927752491912923</v>
      </c>
      <c r="M49" s="69">
        <f t="shared" si="36"/>
        <v>1280.2545400667541</v>
      </c>
      <c r="N49" s="69">
        <f t="shared" si="37"/>
        <v>1146.5473699619997</v>
      </c>
      <c r="P49" s="28">
        <f t="shared" si="33"/>
        <v>-0.10443795817180446</v>
      </c>
    </row>
    <row r="50" spans="1:16" s="20" customFormat="1" ht="11.25" x14ac:dyDescent="0.2">
      <c r="A50" s="26"/>
      <c r="B50" s="56" t="s">
        <v>13</v>
      </c>
      <c r="C50" s="69">
        <v>9810.7313687393489</v>
      </c>
      <c r="D50" s="69">
        <v>9120.6696114509086</v>
      </c>
      <c r="F50" s="28">
        <f t="shared" si="31"/>
        <v>-7.0337442882926648E-2</v>
      </c>
      <c r="H50" s="69">
        <v>904.463445576661</v>
      </c>
      <c r="I50" s="69">
        <v>841.17601446846641</v>
      </c>
      <c r="K50" s="28">
        <f t="shared" si="32"/>
        <v>-6.9972348155921682E-2</v>
      </c>
      <c r="M50" s="69">
        <f t="shared" si="36"/>
        <v>10715.19481431601</v>
      </c>
      <c r="N50" s="69">
        <f t="shared" si="37"/>
        <v>9961.8456259193754</v>
      </c>
      <c r="P50" s="28">
        <f t="shared" si="33"/>
        <v>-7.0306625446522331E-2</v>
      </c>
    </row>
    <row r="51" spans="1:16" s="54" customFormat="1" x14ac:dyDescent="0.2">
      <c r="A51" s="60"/>
      <c r="B51" s="27" t="s">
        <v>7</v>
      </c>
      <c r="C51" s="68">
        <v>697.53246234467304</v>
      </c>
      <c r="D51" s="68">
        <v>869.22179300744449</v>
      </c>
      <c r="F51" s="19">
        <f t="shared" si="31"/>
        <v>0.24613812249778033</v>
      </c>
      <c r="H51" s="68">
        <v>61.40191147455814</v>
      </c>
      <c r="I51" s="68">
        <v>84.64811828574507</v>
      </c>
      <c r="K51" s="19">
        <f t="shared" si="32"/>
        <v>0.37859093068819183</v>
      </c>
      <c r="M51" s="68">
        <f t="shared" si="36"/>
        <v>758.93437381923115</v>
      </c>
      <c r="N51" s="68">
        <f t="shared" si="37"/>
        <v>953.8699112931896</v>
      </c>
      <c r="P51" s="19">
        <f t="shared" si="33"/>
        <v>0.25685427383262738</v>
      </c>
    </row>
    <row r="52" spans="1:16" s="54" customFormat="1" x14ac:dyDescent="0.2">
      <c r="A52" s="60"/>
      <c r="B52" s="27" t="s">
        <v>15</v>
      </c>
      <c r="C52" s="68">
        <v>1210.8928195432088</v>
      </c>
      <c r="D52" s="68">
        <v>1399.1734902034075</v>
      </c>
      <c r="F52" s="19">
        <f t="shared" si="31"/>
        <v>0.15548912969128414</v>
      </c>
      <c r="H52" s="68">
        <v>119.59488980616722</v>
      </c>
      <c r="I52" s="68">
        <v>28.018056852761529</v>
      </c>
      <c r="K52" s="19">
        <f t="shared" si="32"/>
        <v>-0.76572530065313282</v>
      </c>
      <c r="M52" s="68">
        <f t="shared" si="36"/>
        <v>1330.487709349376</v>
      </c>
      <c r="N52" s="68">
        <f t="shared" si="37"/>
        <v>1427.1915470561689</v>
      </c>
      <c r="P52" s="19">
        <f t="shared" si="33"/>
        <v>7.2682999645357294E-2</v>
      </c>
    </row>
    <row r="53" spans="1:16" s="54" customFormat="1" x14ac:dyDescent="0.2">
      <c r="A53" s="60"/>
      <c r="B53" s="27" t="s">
        <v>12</v>
      </c>
      <c r="C53" s="68">
        <v>395.17094200422491</v>
      </c>
      <c r="D53" s="68">
        <v>343.93895058146643</v>
      </c>
      <c r="F53" s="19">
        <f t="shared" si="31"/>
        <v>-0.12964513828602997</v>
      </c>
      <c r="H53" s="68">
        <v>45.219101718286069</v>
      </c>
      <c r="I53" s="68">
        <v>26.585423579892506</v>
      </c>
      <c r="K53" s="19">
        <f t="shared" si="32"/>
        <v>-0.41207537147643791</v>
      </c>
      <c r="M53" s="68">
        <f t="shared" si="36"/>
        <v>440.390043722511</v>
      </c>
      <c r="N53" s="68">
        <f t="shared" si="37"/>
        <v>370.52437416135893</v>
      </c>
      <c r="P53" s="19">
        <f t="shared" si="33"/>
        <v>-0.15864497973340719</v>
      </c>
    </row>
    <row r="54" spans="1:16" ht="11.25" customHeight="1" thickBot="1" x14ac:dyDescent="0.25">
      <c r="A54" s="22"/>
      <c r="F54" s="22"/>
      <c r="K54" s="22"/>
      <c r="P54" s="22"/>
    </row>
    <row r="55" spans="1:16" ht="16.5" thickBot="1" x14ac:dyDescent="0.25">
      <c r="A55" s="30"/>
      <c r="B55" s="31" t="s">
        <v>16</v>
      </c>
      <c r="C55" s="61">
        <v>77670.173645003757</v>
      </c>
      <c r="D55" s="62">
        <v>82146.128089877631</v>
      </c>
      <c r="F55" s="32">
        <f>IF(C55,D55/C55-1,"")</f>
        <v>5.7627712606019177E-2</v>
      </c>
      <c r="H55" s="61">
        <v>8359.5484259271288</v>
      </c>
      <c r="I55" s="62">
        <v>8686.8719427727538</v>
      </c>
      <c r="K55" s="32">
        <f>IF(H55,I55/H55-1,"")</f>
        <v>3.91556457559874E-2</v>
      </c>
      <c r="M55" s="61">
        <f>SUM(M38,M48:M53)</f>
        <v>86029.72207093086</v>
      </c>
      <c r="N55" s="62">
        <f>SUM(N38,N48:N53)</f>
        <v>90833.000032650409</v>
      </c>
      <c r="P55" s="32">
        <f>IF(M55,N55/M55-1,"")</f>
        <v>5.5832773210162001E-2</v>
      </c>
    </row>
    <row r="56" spans="1:16" ht="6" customHeight="1" x14ac:dyDescent="0.2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">
      <c r="B62" s="21" t="s">
        <v>21</v>
      </c>
    </row>
    <row r="63" spans="1:16" ht="45" customHeight="1" x14ac:dyDescent="0.2">
      <c r="A63" s="23"/>
      <c r="C63" s="75" t="str">
        <f>C$35</f>
        <v>I-X 2025 vs I-X 2024</v>
      </c>
      <c r="D63" s="75"/>
      <c r="E63" s="75"/>
      <c r="F63" s="75"/>
      <c r="H63" s="75" t="str">
        <f>H$35</f>
        <v>XI 2025 vs XI 2024</v>
      </c>
      <c r="I63" s="75"/>
      <c r="J63" s="75"/>
      <c r="K63" s="75"/>
      <c r="M63" s="75" t="str">
        <f>M$35</f>
        <v>I-XI 2025 vs I-XI 2024</v>
      </c>
      <c r="N63" s="75"/>
      <c r="O63" s="75"/>
      <c r="P63" s="75"/>
    </row>
    <row r="64" spans="1:16" ht="22.5" x14ac:dyDescent="0.2">
      <c r="A64" s="24"/>
      <c r="C64" s="25" t="str">
        <f>C$37</f>
        <v>I-X 2024</v>
      </c>
      <c r="D64" s="25" t="str">
        <f>D$37</f>
        <v>I-X 2025</v>
      </c>
      <c r="F64" s="25" t="str">
        <f>F$37</f>
        <v>I-X 25/
I-X 24</v>
      </c>
      <c r="H64" s="25" t="str">
        <f>H$37</f>
        <v>XI 2024</v>
      </c>
      <c r="I64" s="25" t="str">
        <f>I$37</f>
        <v>XI 2025</v>
      </c>
      <c r="K64" s="25" t="str">
        <f>K$37</f>
        <v>XI 2025/
XI 2024</v>
      </c>
      <c r="M64" s="25" t="str">
        <f>M$37</f>
        <v>I-XI 2024</v>
      </c>
      <c r="N64" s="25" t="str">
        <f>N$37</f>
        <v>I-XI 2025</v>
      </c>
      <c r="P64" s="25" t="str">
        <f>P$37</f>
        <v>I-XI 25/
I-XI 24</v>
      </c>
    </row>
    <row r="65" spans="1:16" s="54" customFormat="1" x14ac:dyDescent="0.2">
      <c r="A65" s="41"/>
      <c r="B65" s="27" t="s">
        <v>14</v>
      </c>
      <c r="C65" s="68">
        <v>3594.3925301549043</v>
      </c>
      <c r="D65" s="68">
        <v>5033.1296137309273</v>
      </c>
      <c r="F65" s="55">
        <f t="shared" ref="F65:F80" si="38">IF(C65,D65/C65-1,"")</f>
        <v>0.40027266680136875</v>
      </c>
      <c r="H65" s="68">
        <v>424.95672586244825</v>
      </c>
      <c r="I65" s="68">
        <v>513.18585232521946</v>
      </c>
      <c r="K65" s="55">
        <f t="shared" ref="K65:K80" si="39">IF(H65,I65/H65-1,"")</f>
        <v>0.20761908470494372</v>
      </c>
      <c r="M65" s="68">
        <f>SUM(M66:M67,M69:M73)</f>
        <v>4019.3492560173536</v>
      </c>
      <c r="N65" s="68">
        <f>SUM(N66:N67,N69:N73)</f>
        <v>5546.3154660561468</v>
      </c>
      <c r="P65" s="55">
        <f t="shared" ref="P65:P80" si="40">IF(M65,N65/M65-1,"")</f>
        <v>0.37990383835213559</v>
      </c>
    </row>
    <row r="66" spans="1:16" s="20" customFormat="1" ht="11.25" x14ac:dyDescent="0.2">
      <c r="A66" s="26"/>
      <c r="B66" s="56" t="s">
        <v>0</v>
      </c>
      <c r="C66" s="69">
        <v>2031.1887224531263</v>
      </c>
      <c r="D66" s="69">
        <v>3108.0588172432699</v>
      </c>
      <c r="F66" s="28">
        <f t="shared" si="38"/>
        <v>0.53016742505815806</v>
      </c>
      <c r="H66" s="69">
        <v>273.94045611223618</v>
      </c>
      <c r="I66" s="69">
        <v>312.47143077156619</v>
      </c>
      <c r="K66" s="28">
        <f t="shared" si="39"/>
        <v>0.14065456123626907</v>
      </c>
      <c r="M66" s="69">
        <f>C66+H66</f>
        <v>2305.1291785653625</v>
      </c>
      <c r="N66" s="69">
        <f>D66+I66</f>
        <v>3420.5302480148362</v>
      </c>
      <c r="P66" s="28">
        <f t="shared" si="40"/>
        <v>0.48387790143008957</v>
      </c>
    </row>
    <row r="67" spans="1:16" s="20" customFormat="1" ht="11.25" x14ac:dyDescent="0.2">
      <c r="A67" s="26"/>
      <c r="B67" s="56" t="s">
        <v>8</v>
      </c>
      <c r="C67" s="69">
        <v>338.95292696422297</v>
      </c>
      <c r="D67" s="69">
        <v>333.24991269139213</v>
      </c>
      <c r="F67" s="28">
        <f t="shared" si="38"/>
        <v>-1.6825387300558159E-2</v>
      </c>
      <c r="H67" s="69">
        <v>26.662233559584923</v>
      </c>
      <c r="I67" s="69">
        <v>22.267385388439337</v>
      </c>
      <c r="K67" s="28">
        <f t="shared" si="39"/>
        <v>-0.1648342087066319</v>
      </c>
      <c r="M67" s="69">
        <f>C67+H67</f>
        <v>365.6151605238079</v>
      </c>
      <c r="N67" s="69">
        <f>D67+I67</f>
        <v>355.51729807983145</v>
      </c>
      <c r="P67" s="28">
        <f t="shared" si="40"/>
        <v>-2.7618828577867238E-2</v>
      </c>
    </row>
    <row r="68" spans="1:16" x14ac:dyDescent="0.2">
      <c r="A68" s="58"/>
      <c r="B68" s="29" t="s">
        <v>9</v>
      </c>
      <c r="C68" s="70">
        <v>1199.3602991299122</v>
      </c>
      <c r="D68" s="70">
        <v>1530.4030096817442</v>
      </c>
      <c r="F68" s="59">
        <f t="shared" si="38"/>
        <v>0.27601606522409505</v>
      </c>
      <c r="H68" s="70">
        <v>123.6850905153518</v>
      </c>
      <c r="I68" s="70">
        <v>167.3871367696658</v>
      </c>
      <c r="K68" s="59">
        <f t="shared" si="39"/>
        <v>0.35333317922332519</v>
      </c>
      <c r="M68" s="70">
        <f>M69+M70+M71+M72</f>
        <v>1323.0453896452639</v>
      </c>
      <c r="N68" s="70">
        <f>N69+N70+N71+N72</f>
        <v>1697.79014645141</v>
      </c>
      <c r="P68" s="59">
        <f t="shared" si="40"/>
        <v>0.28324406686200154</v>
      </c>
    </row>
    <row r="69" spans="1:16" s="20" customFormat="1" ht="11.25" x14ac:dyDescent="0.2">
      <c r="A69" s="26"/>
      <c r="B69" s="57" t="s">
        <v>10</v>
      </c>
      <c r="C69" s="69">
        <v>172.3541891169254</v>
      </c>
      <c r="D69" s="69">
        <v>201.33417333793213</v>
      </c>
      <c r="F69" s="28">
        <f t="shared" si="38"/>
        <v>0.16814203570849484</v>
      </c>
      <c r="H69" s="69">
        <v>22.810062193170108</v>
      </c>
      <c r="I69" s="69">
        <v>20.098699894669231</v>
      </c>
      <c r="K69" s="28">
        <f t="shared" si="39"/>
        <v>-0.11886694019241761</v>
      </c>
      <c r="M69" s="69">
        <f t="shared" ref="M69:M73" si="41">C69+H69</f>
        <v>195.16425131009549</v>
      </c>
      <c r="N69" s="69">
        <f t="shared" ref="N69:N73" si="42">D69+I69</f>
        <v>221.43287323260137</v>
      </c>
      <c r="P69" s="28">
        <f t="shared" si="40"/>
        <v>0.13459750823304106</v>
      </c>
    </row>
    <row r="70" spans="1:16" s="20" customFormat="1" ht="11.25" x14ac:dyDescent="0.2">
      <c r="A70" s="26"/>
      <c r="B70" s="57" t="s">
        <v>4</v>
      </c>
      <c r="C70" s="69">
        <v>660.13926434419352</v>
      </c>
      <c r="D70" s="69">
        <v>854.0206419993699</v>
      </c>
      <c r="F70" s="28">
        <f t="shared" si="38"/>
        <v>0.2936976909679585</v>
      </c>
      <c r="H70" s="69">
        <v>67.017897052923416</v>
      </c>
      <c r="I70" s="69">
        <v>112.70933797899704</v>
      </c>
      <c r="K70" s="28">
        <f t="shared" si="39"/>
        <v>0.68177968774507369</v>
      </c>
      <c r="M70" s="69">
        <f t="shared" si="41"/>
        <v>727.15716139711697</v>
      </c>
      <c r="N70" s="69">
        <f t="shared" si="42"/>
        <v>966.72997997836694</v>
      </c>
      <c r="P70" s="28">
        <f t="shared" si="40"/>
        <v>0.32946497854872092</v>
      </c>
    </row>
    <row r="71" spans="1:16" s="20" customFormat="1" ht="11.25" x14ac:dyDescent="0.2">
      <c r="A71" s="26"/>
      <c r="B71" s="57" t="s">
        <v>11</v>
      </c>
      <c r="C71" s="69">
        <v>298.12511376008314</v>
      </c>
      <c r="D71" s="69">
        <v>351.74140016830466</v>
      </c>
      <c r="F71" s="28">
        <f t="shared" si="38"/>
        <v>0.17984491722951379</v>
      </c>
      <c r="H71" s="69">
        <v>25.999277311867122</v>
      </c>
      <c r="I71" s="69">
        <v>29.276555561178039</v>
      </c>
      <c r="K71" s="28">
        <f t="shared" si="39"/>
        <v>0.12605266715683028</v>
      </c>
      <c r="M71" s="69">
        <f t="shared" si="41"/>
        <v>324.12439107195024</v>
      </c>
      <c r="N71" s="69">
        <f t="shared" si="42"/>
        <v>381.01795572948271</v>
      </c>
      <c r="P71" s="28">
        <f t="shared" si="40"/>
        <v>0.17553003175531767</v>
      </c>
    </row>
    <row r="72" spans="1:16" s="20" customFormat="1" ht="11.25" x14ac:dyDescent="0.2">
      <c r="A72" s="26"/>
      <c r="B72" s="57" t="s">
        <v>6</v>
      </c>
      <c r="C72" s="69">
        <v>68.741731908710065</v>
      </c>
      <c r="D72" s="69">
        <v>123.30679417613749</v>
      </c>
      <c r="F72" s="28">
        <f t="shared" si="38"/>
        <v>0.79376909414925056</v>
      </c>
      <c r="H72" s="69">
        <v>7.8578539573911597</v>
      </c>
      <c r="I72" s="69">
        <v>5.3025433348214657</v>
      </c>
      <c r="K72" s="28">
        <f t="shared" si="39"/>
        <v>-0.32519192090178117</v>
      </c>
      <c r="M72" s="69">
        <f t="shared" si="41"/>
        <v>76.599585866101222</v>
      </c>
      <c r="N72" s="69">
        <f t="shared" si="42"/>
        <v>128.60933751095897</v>
      </c>
      <c r="P72" s="28">
        <f t="shared" si="40"/>
        <v>0.67898215188490219</v>
      </c>
    </row>
    <row r="73" spans="1:16" s="20" customFormat="1" ht="11.25" x14ac:dyDescent="0.2">
      <c r="A73" s="26"/>
      <c r="B73" s="56" t="s">
        <v>12</v>
      </c>
      <c r="C73" s="69">
        <v>24.890581607643586</v>
      </c>
      <c r="D73" s="69">
        <v>61.417874114521567</v>
      </c>
      <c r="F73" s="28">
        <f t="shared" si="38"/>
        <v>1.4675146239114358</v>
      </c>
      <c r="H73" s="69">
        <v>0.66894567527536986</v>
      </c>
      <c r="I73" s="69">
        <v>11.059899395548193</v>
      </c>
      <c r="K73" s="28">
        <f t="shared" si="39"/>
        <v>15.533329692273462</v>
      </c>
      <c r="M73" s="69">
        <f t="shared" si="41"/>
        <v>25.559527282918957</v>
      </c>
      <c r="N73" s="69">
        <f t="shared" si="42"/>
        <v>72.477773510069767</v>
      </c>
      <c r="P73" s="28">
        <f t="shared" si="40"/>
        <v>1.8356460864010407</v>
      </c>
    </row>
    <row r="74" spans="1:16" s="54" customFormat="1" x14ac:dyDescent="0.2">
      <c r="A74" s="60"/>
      <c r="B74" s="27" t="s">
        <v>27</v>
      </c>
      <c r="C74" s="68">
        <v>7021.5686341604196</v>
      </c>
      <c r="D74" s="68">
        <v>8695.1282128455714</v>
      </c>
      <c r="F74" s="19">
        <f t="shared" si="38"/>
        <v>0.23834554155650745</v>
      </c>
      <c r="H74" s="68">
        <v>614.71736276157412</v>
      </c>
      <c r="I74" s="68">
        <v>585.06839485172691</v>
      </c>
      <c r="K74" s="19">
        <f t="shared" si="39"/>
        <v>-4.823186997134965E-2</v>
      </c>
      <c r="M74" s="68">
        <f>SUM(M75:M77)</f>
        <v>7636.2859969219935</v>
      </c>
      <c r="N74" s="68">
        <f>SUM(N75:N77)</f>
        <v>9280.1966076972967</v>
      </c>
      <c r="P74" s="19">
        <f t="shared" si="40"/>
        <v>0.21527619728201963</v>
      </c>
    </row>
    <row r="75" spans="1:16" s="20" customFormat="1" ht="11.25" x14ac:dyDescent="0.2">
      <c r="A75" s="26"/>
      <c r="B75" s="56" t="s">
        <v>24</v>
      </c>
      <c r="C75" s="69">
        <v>858.80179472999112</v>
      </c>
      <c r="D75" s="69">
        <v>600.73320703191507</v>
      </c>
      <c r="F75" s="28">
        <f t="shared" si="38"/>
        <v>-0.30049842615805578</v>
      </c>
      <c r="H75" s="69">
        <v>69.629968257811811</v>
      </c>
      <c r="I75" s="69">
        <v>37.823529823812969</v>
      </c>
      <c r="K75" s="28">
        <f t="shared" si="39"/>
        <v>-0.45679237302295428</v>
      </c>
      <c r="M75" s="69">
        <f t="shared" ref="M75:M80" si="43">C75+H75</f>
        <v>928.43176298780293</v>
      </c>
      <c r="N75" s="69">
        <f t="shared" ref="N75:N80" si="44">D75+I75</f>
        <v>638.55673685572799</v>
      </c>
      <c r="P75" s="28">
        <f t="shared" si="40"/>
        <v>-0.31222006580130657</v>
      </c>
    </row>
    <row r="76" spans="1:16" s="20" customFormat="1" ht="11.25" x14ac:dyDescent="0.2">
      <c r="A76" s="26"/>
      <c r="B76" s="56" t="s">
        <v>23</v>
      </c>
      <c r="C76" s="69">
        <v>3939.6230161308599</v>
      </c>
      <c r="D76" s="69">
        <v>5579.3028049646082</v>
      </c>
      <c r="F76" s="28">
        <f t="shared" si="38"/>
        <v>0.41620220567299171</v>
      </c>
      <c r="H76" s="69">
        <v>279.28520954240037</v>
      </c>
      <c r="I76" s="69">
        <v>266.23385412958208</v>
      </c>
      <c r="K76" s="28">
        <f t="shared" si="39"/>
        <v>-4.6731280307333534E-2</v>
      </c>
      <c r="M76" s="69">
        <f t="shared" si="43"/>
        <v>4218.9082256732599</v>
      </c>
      <c r="N76" s="69">
        <f t="shared" si="44"/>
        <v>5845.5366590941903</v>
      </c>
      <c r="P76" s="28">
        <f t="shared" si="40"/>
        <v>0.38555672378043981</v>
      </c>
    </row>
    <row r="77" spans="1:16" s="20" customFormat="1" ht="11.25" x14ac:dyDescent="0.2">
      <c r="A77" s="26"/>
      <c r="B77" s="56" t="s">
        <v>13</v>
      </c>
      <c r="C77" s="69">
        <v>2223.1438232995683</v>
      </c>
      <c r="D77" s="69">
        <v>2515.0922008490479</v>
      </c>
      <c r="F77" s="28">
        <f t="shared" si="38"/>
        <v>0.13132230784609011</v>
      </c>
      <c r="H77" s="69">
        <v>265.802184961362</v>
      </c>
      <c r="I77" s="69">
        <v>281.01101089833185</v>
      </c>
      <c r="K77" s="28">
        <f t="shared" si="39"/>
        <v>5.7218588850880492E-2</v>
      </c>
      <c r="M77" s="69">
        <f t="shared" si="43"/>
        <v>2488.9460082609303</v>
      </c>
      <c r="N77" s="69">
        <f t="shared" si="44"/>
        <v>2796.1032117473796</v>
      </c>
      <c r="P77" s="28">
        <f t="shared" si="40"/>
        <v>0.12340854420585257</v>
      </c>
    </row>
    <row r="78" spans="1:16" s="54" customFormat="1" x14ac:dyDescent="0.2">
      <c r="A78" s="60"/>
      <c r="B78" s="27" t="s">
        <v>7</v>
      </c>
      <c r="C78" s="68">
        <v>128.86304537711473</v>
      </c>
      <c r="D78" s="68">
        <v>192.06952753216856</v>
      </c>
      <c r="F78" s="19">
        <f t="shared" si="38"/>
        <v>0.4904934690165168</v>
      </c>
      <c r="H78" s="68">
        <v>10.601000335633</v>
      </c>
      <c r="I78" s="68">
        <v>16.2330944960468</v>
      </c>
      <c r="K78" s="19">
        <f t="shared" si="39"/>
        <v>0.53127950024515314</v>
      </c>
      <c r="M78" s="68">
        <f t="shared" si="43"/>
        <v>139.46404571274772</v>
      </c>
      <c r="N78" s="68">
        <f t="shared" si="44"/>
        <v>208.30262202821535</v>
      </c>
      <c r="P78" s="19">
        <f t="shared" si="40"/>
        <v>0.49359371416238385</v>
      </c>
    </row>
    <row r="79" spans="1:16" s="54" customFormat="1" x14ac:dyDescent="0.2">
      <c r="A79" s="60"/>
      <c r="B79" s="27" t="s">
        <v>15</v>
      </c>
      <c r="C79" s="68">
        <v>107.90651843554082</v>
      </c>
      <c r="D79" s="68">
        <v>187.56701749669182</v>
      </c>
      <c r="F79" s="19">
        <f t="shared" si="38"/>
        <v>0.73823620867479933</v>
      </c>
      <c r="H79" s="68">
        <v>21.344337106185016</v>
      </c>
      <c r="I79" s="68">
        <v>16.255636652053902</v>
      </c>
      <c r="K79" s="19">
        <f t="shared" si="39"/>
        <v>-0.2384098615391782</v>
      </c>
      <c r="M79" s="68">
        <f t="shared" si="43"/>
        <v>129.25085554172583</v>
      </c>
      <c r="N79" s="68">
        <f t="shared" si="44"/>
        <v>203.82265414874573</v>
      </c>
      <c r="P79" s="19">
        <f t="shared" si="40"/>
        <v>0.57695400385915452</v>
      </c>
    </row>
    <row r="80" spans="1:16" s="54" customFormat="1" x14ac:dyDescent="0.2">
      <c r="A80" s="60"/>
      <c r="B80" s="27" t="s">
        <v>12</v>
      </c>
      <c r="C80" s="68">
        <v>137.99198880203602</v>
      </c>
      <c r="D80" s="68">
        <v>58.413752950968949</v>
      </c>
      <c r="F80" s="19">
        <f t="shared" si="38"/>
        <v>-0.57668736092520845</v>
      </c>
      <c r="H80" s="68">
        <v>25.473031062713748</v>
      </c>
      <c r="I80" s="68">
        <v>9.4093215199886266</v>
      </c>
      <c r="K80" s="19">
        <f t="shared" si="39"/>
        <v>-0.63061633706553444</v>
      </c>
      <c r="M80" s="68">
        <f t="shared" si="43"/>
        <v>163.46501986474976</v>
      </c>
      <c r="N80" s="68">
        <f t="shared" si="44"/>
        <v>67.823074470957579</v>
      </c>
      <c r="P80" s="19">
        <f t="shared" si="40"/>
        <v>-0.58509120466828879</v>
      </c>
    </row>
    <row r="81" spans="1:16" ht="11.25" customHeight="1" thickBot="1" x14ac:dyDescent="0.25">
      <c r="A81" s="22"/>
      <c r="F81" s="22"/>
      <c r="K81" s="22"/>
      <c r="P81" s="22"/>
    </row>
    <row r="82" spans="1:16" ht="16.5" thickBot="1" x14ac:dyDescent="0.25">
      <c r="A82" s="30"/>
      <c r="B82" s="31" t="s">
        <v>17</v>
      </c>
      <c r="C82" s="61">
        <v>10990.722716930015</v>
      </c>
      <c r="D82" s="62">
        <v>14166.30812455633</v>
      </c>
      <c r="F82" s="32">
        <f>IF(C82,D82/C82-1,"")</f>
        <v>0.28893326575646117</v>
      </c>
      <c r="H82" s="61">
        <v>1097.0924571285543</v>
      </c>
      <c r="I82" s="62">
        <v>1140.1522998450355</v>
      </c>
      <c r="K82" s="32">
        <f>IF(H82,I82/H82-1,"")</f>
        <v>3.9249055479957162E-2</v>
      </c>
      <c r="M82" s="61">
        <f>SUM(M65,M75:M80)</f>
        <v>12087.815174058573</v>
      </c>
      <c r="N82" s="62">
        <f>SUM(N65,N75:N80)</f>
        <v>15306.460424401364</v>
      </c>
      <c r="P82" s="32">
        <f>IF(M82,N82/M82-1,"")</f>
        <v>0.26627187825060927</v>
      </c>
    </row>
    <row r="83" spans="1:16" ht="6" customHeight="1" x14ac:dyDescent="0.2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">
      <c r="F89" s="22"/>
      <c r="K89" s="22"/>
      <c r="P89" s="22"/>
    </row>
    <row r="90" spans="1:16" x14ac:dyDescent="0.2">
      <c r="F90" s="22"/>
      <c r="K90" s="22"/>
      <c r="P90" s="22"/>
    </row>
    <row r="91" spans="1:16" ht="45" customHeight="1" x14ac:dyDescent="0.2">
      <c r="A91" s="23"/>
      <c r="F91" s="22"/>
      <c r="K91" s="22"/>
      <c r="P91" s="22"/>
    </row>
    <row r="92" spans="1:16" x14ac:dyDescent="0.2">
      <c r="A92" s="24"/>
      <c r="F92" s="22"/>
      <c r="K92" s="22"/>
      <c r="P92" s="22"/>
    </row>
    <row r="93" spans="1:16" s="54" customFormat="1" x14ac:dyDescent="0.2">
      <c r="A93" s="41"/>
    </row>
    <row r="94" spans="1:16" s="20" customFormat="1" ht="11.25" x14ac:dyDescent="0.2">
      <c r="A94" s="26"/>
    </row>
    <row r="95" spans="1:16" s="20" customFormat="1" ht="11.25" x14ac:dyDescent="0.2">
      <c r="A95" s="26"/>
    </row>
    <row r="96" spans="1:16" x14ac:dyDescent="0.2">
      <c r="A96" s="58"/>
      <c r="F96" s="22"/>
      <c r="K96" s="22"/>
      <c r="P96" s="22"/>
    </row>
    <row r="97" spans="1:16" s="20" customFormat="1" ht="11.25" x14ac:dyDescent="0.2">
      <c r="A97" s="26"/>
    </row>
    <row r="98" spans="1:16" s="20" customFormat="1" ht="11.25" x14ac:dyDescent="0.2">
      <c r="A98" s="26"/>
    </row>
    <row r="99" spans="1:16" s="20" customFormat="1" ht="11.25" x14ac:dyDescent="0.2">
      <c r="A99" s="26"/>
    </row>
    <row r="100" spans="1:16" s="20" customFormat="1" ht="11.25" x14ac:dyDescent="0.2">
      <c r="A100" s="26"/>
    </row>
    <row r="101" spans="1:16" s="20" customFormat="1" ht="11.25" x14ac:dyDescent="0.2">
      <c r="A101" s="26"/>
    </row>
    <row r="102" spans="1:16" s="54" customFormat="1" x14ac:dyDescent="0.2">
      <c r="A102" s="60"/>
    </row>
    <row r="103" spans="1:16" s="20" customFormat="1" ht="11.25" x14ac:dyDescent="0.2">
      <c r="A103" s="26"/>
    </row>
    <row r="104" spans="1:16" s="20" customFormat="1" ht="11.25" x14ac:dyDescent="0.2">
      <c r="A104" s="26"/>
    </row>
    <row r="105" spans="1:16" s="20" customFormat="1" ht="11.25" x14ac:dyDescent="0.2">
      <c r="A105" s="26"/>
    </row>
    <row r="106" spans="1:16" s="54" customFormat="1" x14ac:dyDescent="0.2">
      <c r="A106" s="60"/>
    </row>
    <row r="107" spans="1:16" s="54" customFormat="1" x14ac:dyDescent="0.2">
      <c r="A107" s="60"/>
    </row>
    <row r="108" spans="1:16" s="54" customFormat="1" x14ac:dyDescent="0.2">
      <c r="A108" s="60"/>
    </row>
    <row r="109" spans="1:16" ht="11.25" customHeight="1" x14ac:dyDescent="0.2">
      <c r="A109" s="22"/>
      <c r="F109" s="22"/>
      <c r="K109" s="22"/>
      <c r="P109" s="22"/>
    </row>
    <row r="110" spans="1:16" ht="15.75" x14ac:dyDescent="0.2">
      <c r="A110" s="30"/>
      <c r="F110" s="22"/>
      <c r="K110" s="22"/>
      <c r="P110" s="22"/>
    </row>
    <row r="111" spans="1:16" ht="6" customHeight="1" x14ac:dyDescent="0.2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">
      <c r="A120" s="53"/>
      <c r="F120" s="53"/>
      <c r="K120" s="53"/>
      <c r="P120" s="53"/>
    </row>
    <row r="121" spans="1:16" s="39" customFormat="1" ht="44.1" customHeight="1" x14ac:dyDescent="0.2">
      <c r="A121" s="53"/>
      <c r="F121" s="53"/>
      <c r="K121" s="53"/>
      <c r="P121" s="53"/>
    </row>
    <row r="122" spans="1:16" s="39" customFormat="1" x14ac:dyDescent="0.2">
      <c r="A122" s="53"/>
      <c r="F122" s="53"/>
      <c r="K122" s="53"/>
      <c r="P122" s="53"/>
    </row>
    <row r="129" spans="2:15" s="20" customFormat="1" x14ac:dyDescent="0.2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964F32C7-7F06-4774-A873-E4397FCCB58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summary_11 2025</vt:lpstr>
      <vt:lpstr>szacunek rynku_11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2025-12-15T13:18:33Z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